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480" windowHeight="9080" activeTab="0"/>
  </bookViews>
  <sheets>
    <sheet name="Standard Assumptions" sheetId="1" r:id="rId1"/>
    <sheet name="Fossil Fuel DER" sheetId="2" r:id="rId2"/>
    <sheet name="Energy Storage" sheetId="3" r:id="rId3"/>
  </sheets>
  <definedNames>
    <definedName name="_xlnm.Print_Area" localSheetId="0">'Standard Assumptions'!$A$1:$F$22</definedName>
  </definedNames>
  <calcPr fullCalcOnLoad="1"/>
</workbook>
</file>

<file path=xl/sharedStrings.xml><?xml version="1.0" encoding="utf-8"?>
<sst xmlns="http://schemas.openxmlformats.org/spreadsheetml/2006/main" count="357" uniqueCount="116">
  <si>
    <t>MMBTU</t>
  </si>
  <si>
    <t>MWh</t>
  </si>
  <si>
    <t>%</t>
  </si>
  <si>
    <t>Capacity</t>
  </si>
  <si>
    <t>MW</t>
  </si>
  <si>
    <t>Fuel Input</t>
  </si>
  <si>
    <t>Capacity Factor</t>
  </si>
  <si>
    <t>GHG Emissions Factor (E)</t>
  </si>
  <si>
    <t>Technology</t>
  </si>
  <si>
    <t>Gas Turbine</t>
  </si>
  <si>
    <t>Microturbine</t>
  </si>
  <si>
    <t>BTU/kWh</t>
  </si>
  <si>
    <t>Kg/MWH</t>
  </si>
  <si>
    <t>Tonne CO2E</t>
  </si>
  <si>
    <t>T&amp;D Avoided</t>
  </si>
  <si>
    <t>T&amp;D losses</t>
  </si>
  <si>
    <t>Electrical Efficiency*</t>
  </si>
  <si>
    <t>Total Electricity Avoided</t>
  </si>
  <si>
    <t>Heat Recovery Rate</t>
  </si>
  <si>
    <t>Natural Gas - GHG Conversion</t>
  </si>
  <si>
    <t>Tonne/MMBTU</t>
  </si>
  <si>
    <t>Heat Rate (calculated)</t>
  </si>
  <si>
    <t>Annual Net Emissions Reduction</t>
  </si>
  <si>
    <t>Storage Assumptions</t>
  </si>
  <si>
    <t>Round Trip Efficiency (min.)</t>
  </si>
  <si>
    <t>hours</t>
  </si>
  <si>
    <t>Electrical Efficiency Degradation</t>
  </si>
  <si>
    <t>Emissions Avoided (E)</t>
  </si>
  <si>
    <t>Generation</t>
  </si>
  <si>
    <t>Emissions Produced</t>
  </si>
  <si>
    <t>Emissions Avoided (H)</t>
  </si>
  <si>
    <t>Net Emissions Reduction</t>
  </si>
  <si>
    <t>Year</t>
  </si>
  <si>
    <t>Rich Burn Engine</t>
  </si>
  <si>
    <t>Lean Burn Engine</t>
  </si>
  <si>
    <t>Heat Recovered</t>
  </si>
  <si>
    <t>Performance Degradation</t>
  </si>
  <si>
    <t>CHP</t>
  </si>
  <si>
    <t>Total</t>
  </si>
  <si>
    <t>NA</t>
  </si>
  <si>
    <t>IF &lt; 1MW</t>
  </si>
  <si>
    <t>IF &gt;1MW, but &lt;2MW</t>
  </si>
  <si>
    <t>IF &gt;2MW</t>
  </si>
  <si>
    <t>Incentive Calculation, logic tests</t>
  </si>
  <si>
    <t>Avoided GHG from Grid</t>
  </si>
  <si>
    <t>Kg/MWh</t>
  </si>
  <si>
    <t>Source</t>
  </si>
  <si>
    <t>Description</t>
  </si>
  <si>
    <t>AB 32 Scoping Plan</t>
  </si>
  <si>
    <t>Storage (Charging)</t>
  </si>
  <si>
    <t>Storage (Discharging)</t>
  </si>
  <si>
    <t>Other</t>
  </si>
  <si>
    <t>User defined</t>
  </si>
  <si>
    <t>ARB BAU Avoided Emission Rate</t>
  </si>
  <si>
    <t>T&amp;D Line Losses</t>
  </si>
  <si>
    <t>Avoided GHG Emissions Rate</t>
  </si>
  <si>
    <t>Avoided GHG Emissions Rate Background</t>
  </si>
  <si>
    <t xml:space="preserve">Itron Calculation (*from Appendix B, </t>
  </si>
  <si>
    <t>HE heat rate</t>
  </si>
  <si>
    <t>LE heat rate</t>
  </si>
  <si>
    <t>Avg NorCal heat rate</t>
  </si>
  <si>
    <t>Avg SoCal heat rate</t>
  </si>
  <si>
    <t>NorCal factor</t>
  </si>
  <si>
    <t>HE plant CO2 factor</t>
  </si>
  <si>
    <t>LE plant CO2 factor</t>
  </si>
  <si>
    <t>SoCal factor</t>
  </si>
  <si>
    <t>Avg Statewide CO2 Emissions Factor</t>
  </si>
  <si>
    <t>tonne/MWh</t>
  </si>
  <si>
    <t>Conversion Factors</t>
  </si>
  <si>
    <t>lbs. CO2 Equivalent/MMBTU</t>
  </si>
  <si>
    <t>Tonne CO2E/MMBTU</t>
  </si>
  <si>
    <t>Gas CCGT Emissions factor</t>
  </si>
  <si>
    <t>Gas CT Emissions factor</t>
  </si>
  <si>
    <r>
      <t>SubTotal</t>
    </r>
    <r>
      <rPr>
        <sz val="10"/>
        <rFont val="Arial"/>
        <family val="2"/>
      </rPr>
      <t xml:space="preserve"> (Sample Project)</t>
    </r>
  </si>
  <si>
    <t>1 MW</t>
  </si>
  <si>
    <t>GHG Emissions Factor (Charge)</t>
  </si>
  <si>
    <t>GHG Emissions Factor (Disch.)</t>
  </si>
  <si>
    <t>Fuel Cell CHP</t>
  </si>
  <si>
    <t>MBCS staff review of AB 32 Scoping Plan Goals  (from E3 GHG calculator)</t>
  </si>
  <si>
    <t>Operation Days</t>
  </si>
  <si>
    <t>/year</t>
  </si>
  <si>
    <t>Charging</t>
  </si>
  <si>
    <t>Charge/Discharge Time</t>
  </si>
  <si>
    <t>Line Losses (Charging)</t>
  </si>
  <si>
    <t>Net Generation, Charging</t>
  </si>
  <si>
    <t>Discharging</t>
  </si>
  <si>
    <t>Line Losses (Discharging)</t>
  </si>
  <si>
    <t>Net Generation, Discharging</t>
  </si>
  <si>
    <t>Net Emissions Avoided</t>
  </si>
  <si>
    <t>Net Emissions Produced</t>
  </si>
  <si>
    <t>Storage Minimum Performance Outcomes</t>
  </si>
  <si>
    <t>Energy Storage</t>
  </si>
  <si>
    <t>BAU Avoided Emission Rate including 20% renewables (applicable to demand side programs)</t>
  </si>
  <si>
    <t>Generator Assumptions</t>
  </si>
  <si>
    <t>Capacity (MW)</t>
  </si>
  <si>
    <t>Electric-only Fuel Cells</t>
  </si>
  <si>
    <t>Combustion CHP Average</t>
  </si>
  <si>
    <t>Natural Gas Fueled Distributed Generation</t>
  </si>
  <si>
    <t>Total System Efficiency (CHP only)</t>
  </si>
  <si>
    <t>Avoided Boiler Efficiency</t>
  </si>
  <si>
    <t>Input Assumptions for SB 412 GHG Analysis</t>
  </si>
  <si>
    <t>Grid Assumptions</t>
  </si>
  <si>
    <t>Grid/Avoided Boiler Assumptions</t>
  </si>
  <si>
    <t>T&amp;D losses (all times)</t>
  </si>
  <si>
    <t>*Electrical efficiency must be equal to or greater than 28.2% in order for CHP to be GHG reducing at 62% overall efficiency</t>
  </si>
  <si>
    <t>AB 32 Scoping Plan, modified by CPUC staff for customer generation</t>
  </si>
  <si>
    <t>Electrical Efficiency</t>
  </si>
  <si>
    <t>GHG Reducing (Y/N)</t>
  </si>
  <si>
    <t>Industry Est. CHP Efficiency (Reference Only)</t>
  </si>
  <si>
    <t>*Electrical efficiency for electric-only fuel cells must be greater than or equal to 50.1% (HHV) in order for electric-only fuel cells to be GHG reducing.</t>
  </si>
  <si>
    <t>CHP Efficiency - AB 1613 (HHV)</t>
  </si>
  <si>
    <t>Electrical Efficiency (HHV)*</t>
  </si>
  <si>
    <t>**CHP efficiency must be equal to or greater than 63.9% for Microturbines in order for these technologies to be GHG reducing at given electrical efficiencies</t>
  </si>
  <si>
    <t>*CHP efficiency must be equal to or greater than 62.7% for Rich Burn Engines in order for these technologies to be GHG reducing at given electrical efficiencies</t>
  </si>
  <si>
    <t>Total System Efficiency (CHP only)**</t>
  </si>
  <si>
    <t>*Round trip efficiency for energy storage must be greater than or equal to 67.9% in order for energy storage to be GHG reducing.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</si>
</sst>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;[Red]#,##0"/>
    <numFmt numFmtId="180" formatCode="0.000000E+00"/>
    <numFmt numFmtId="181" formatCode="0.00000E+00"/>
    <numFmt numFmtId="182" formatCode="0.0000E+00"/>
    <numFmt numFmtId="183" formatCode="0.000E+00"/>
    <numFmt numFmtId="184" formatCode="0.0E+00"/>
    <numFmt numFmtId="185" formatCode="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_(* #,##0_);_(* \(#,##0\);_(* &quot;-&quot;??_);_(@_)"/>
    <numFmt numFmtId="192" formatCode="_(* #,##0.000_);_(* \(#,##0.000\);_(* &quot;-&quot;??_);_(@_)"/>
    <numFmt numFmtId="193" formatCode="_(* #,##0.000_);_(* \(#,##0.000\);_(* &quot;-&quot;???_);_(@_)"/>
    <numFmt numFmtId="194" formatCode="0.0000000000"/>
    <numFmt numFmtId="195" formatCode="0.000000000"/>
    <numFmt numFmtId="196" formatCode="0.00000000"/>
    <numFmt numFmtId="197" formatCode="_(&quot;$&quot;* #,##0.000_);_(&quot;$&quot;* \(#,##0.000\);_(&quot;$&quot;* &quot;-&quot;???_);_(@_)"/>
    <numFmt numFmtId="198" formatCode="_(&quot;$&quot;* #,##0.00_);_(&quot;$&quot;* \(#,##0.00\);_(&quot;$&quot;* &quot;-&quot;???_);_(@_)"/>
    <numFmt numFmtId="199" formatCode="_(&quot;$&quot;* #,##0.0_);_(&quot;$&quot;* \(#,##0.0\);_(&quot;$&quot;* &quot;-&quot;???_);_(@_)"/>
    <numFmt numFmtId="200" formatCode="_(&quot;$&quot;* #,##0_);_(&quot;$&quot;* \(#,##0\);_(&quot;$&quot;* &quot;-&quot;???_);_(@_)"/>
    <numFmt numFmtId="201" formatCode="_(* #,##0.0_);_(* \(#,##0.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&quot;$&quot;* #,##0.000_);_(&quot;$&quot;* \(#,##0.000\);_(&quot;$&quot;* &quot;-&quot;??_);_(@_)"/>
    <numFmt numFmtId="205" formatCode="_(&quot;$&quot;* #,##0.0000_);_(&quot;$&quot;* \(#,##0.0000\);_(&quot;$&quot;* &quot;-&quot;??_);_(@_)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_(* #,##0.0_);_(* \(#,##0.0\);_(* &quot;-&quot;?_);_(@_)"/>
    <numFmt numFmtId="209" formatCode="_(* #,##0_);_(* \(#,##0\);_(* &quot;-&quot;?_);_(@_)"/>
    <numFmt numFmtId="210" formatCode="&quot;$&quot;#,##0.000_);[Red]\(&quot;$&quot;#,##0.000\)"/>
    <numFmt numFmtId="211" formatCode="&quot;$&quot;#,##0.0000_);[Red]\(&quot;$&quot;#,##0.0000\)"/>
    <numFmt numFmtId="212" formatCode="0.000000000000000"/>
    <numFmt numFmtId="213" formatCode="0.0000000000000000"/>
    <numFmt numFmtId="214" formatCode="0.00000000000000"/>
    <numFmt numFmtId="215" formatCode="0.0000000000000"/>
    <numFmt numFmtId="216" formatCode="0.000000000000"/>
    <numFmt numFmtId="217" formatCode="0.00000000000"/>
    <numFmt numFmtId="218" formatCode="&quot;$&quot;#,##0.00"/>
    <numFmt numFmtId="219" formatCode="#,##0.0000000000"/>
    <numFmt numFmtId="220" formatCode="#,##0.00000000000"/>
    <numFmt numFmtId="221" formatCode="#,##0.0000000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9" fontId="0" fillId="33" borderId="10" xfId="59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5" borderId="12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70" fontId="0" fillId="0" borderId="0" xfId="59" applyNumberFormat="1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3" fontId="0" fillId="35" borderId="0" xfId="0" applyNumberFormat="1" applyFont="1" applyFill="1" applyBorder="1" applyAlignment="1">
      <alignment wrapText="1"/>
    </xf>
    <xf numFmtId="3" fontId="0" fillId="36" borderId="0" xfId="0" applyNumberFormat="1" applyFont="1" applyFill="1" applyBorder="1" applyAlignment="1">
      <alignment wrapText="1"/>
    </xf>
    <xf numFmtId="0" fontId="2" fillId="37" borderId="13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174" fontId="0" fillId="0" borderId="0" xfId="0" applyNumberFormat="1" applyFont="1" applyFill="1" applyBorder="1" applyAlignment="1">
      <alignment wrapText="1"/>
    </xf>
    <xf numFmtId="3" fontId="0" fillId="35" borderId="0" xfId="0" applyNumberFormat="1" applyFont="1" applyFill="1" applyBorder="1" applyAlignment="1">
      <alignment horizontal="right" wrapText="1"/>
    </xf>
    <xf numFmtId="38" fontId="2" fillId="37" borderId="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1" fontId="0" fillId="33" borderId="10" xfId="59" applyNumberFormat="1" applyFont="1" applyFill="1" applyBorder="1" applyAlignment="1">
      <alignment/>
    </xf>
    <xf numFmtId="170" fontId="0" fillId="0" borderId="0" xfId="59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59" applyNumberFormat="1" applyFont="1" applyFill="1" applyBorder="1" applyAlignment="1">
      <alignment wrapText="1"/>
    </xf>
    <xf numFmtId="170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168" fontId="2" fillId="0" borderId="0" xfId="59" applyNumberFormat="1" applyFont="1" applyAlignment="1">
      <alignment/>
    </xf>
    <xf numFmtId="170" fontId="2" fillId="0" borderId="0" xfId="59" applyNumberFormat="1" applyFont="1" applyAlignment="1">
      <alignment/>
    </xf>
    <xf numFmtId="3" fontId="2" fillId="0" borderId="0" xfId="59" applyNumberFormat="1" applyFont="1" applyAlignment="1">
      <alignment/>
    </xf>
    <xf numFmtId="166" fontId="2" fillId="0" borderId="0" xfId="59" applyNumberFormat="1" applyFont="1" applyAlignment="1">
      <alignment/>
    </xf>
    <xf numFmtId="191" fontId="2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59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70" fontId="2" fillId="33" borderId="10" xfId="59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38" fontId="2" fillId="0" borderId="0" xfId="0" applyNumberFormat="1" applyFont="1" applyAlignment="1">
      <alignment/>
    </xf>
    <xf numFmtId="170" fontId="0" fillId="0" borderId="10" xfId="59" applyNumberFormat="1" applyFont="1" applyFill="1" applyBorder="1" applyAlignment="1">
      <alignment wrapText="1"/>
    </xf>
    <xf numFmtId="170" fontId="0" fillId="0" borderId="10" xfId="59" applyNumberFormat="1" applyFont="1" applyBorder="1" applyAlignment="1">
      <alignment/>
    </xf>
    <xf numFmtId="170" fontId="0" fillId="0" borderId="10" xfId="59" applyNumberFormat="1" applyFont="1" applyBorder="1" applyAlignment="1">
      <alignment/>
    </xf>
    <xf numFmtId="170" fontId="0" fillId="0" borderId="0" xfId="59" applyNumberFormat="1" applyFont="1" applyBorder="1" applyAlignment="1">
      <alignment/>
    </xf>
    <xf numFmtId="0" fontId="8" fillId="0" borderId="15" xfId="0" applyFont="1" applyBorder="1" applyAlignment="1">
      <alignment/>
    </xf>
    <xf numFmtId="170" fontId="0" fillId="0" borderId="16" xfId="59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8" fillId="0" borderId="14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9" fontId="0" fillId="0" borderId="20" xfId="59" applyFont="1" applyFill="1" applyBorder="1" applyAlignment="1">
      <alignment/>
    </xf>
    <xf numFmtId="0" fontId="4" fillId="0" borderId="0" xfId="0" applyFont="1" applyAlignment="1">
      <alignment/>
    </xf>
    <xf numFmtId="0" fontId="2" fillId="34" borderId="21" xfId="0" applyFont="1" applyFill="1" applyBorder="1" applyAlignment="1">
      <alignment/>
    </xf>
    <xf numFmtId="170" fontId="0" fillId="33" borderId="22" xfId="59" applyNumberFormat="1" applyFont="1" applyFill="1" applyBorder="1" applyAlignment="1">
      <alignment wrapText="1"/>
    </xf>
    <xf numFmtId="168" fontId="0" fillId="0" borderId="10" xfId="0" applyNumberFormat="1" applyFill="1" applyBorder="1" applyAlignment="1">
      <alignment/>
    </xf>
    <xf numFmtId="168" fontId="0" fillId="0" borderId="16" xfId="0" applyNumberFormat="1" applyBorder="1" applyAlignment="1">
      <alignment/>
    </xf>
    <xf numFmtId="38" fontId="0" fillId="37" borderId="0" xfId="0" applyNumberFormat="1" applyFont="1" applyFill="1" applyBorder="1" applyAlignment="1">
      <alignment wrapText="1"/>
    </xf>
    <xf numFmtId="38" fontId="0" fillId="0" borderId="0" xfId="0" applyNumberFormat="1" applyFont="1" applyFill="1" applyBorder="1" applyAlignment="1">
      <alignment wrapText="1"/>
    </xf>
    <xf numFmtId="38" fontId="2" fillId="0" borderId="0" xfId="0" applyNumberFormat="1" applyFont="1" applyFill="1" applyBorder="1" applyAlignment="1">
      <alignment wrapText="1"/>
    </xf>
    <xf numFmtId="10" fontId="0" fillId="33" borderId="10" xfId="59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168" fontId="0" fillId="0" borderId="0" xfId="0" applyNumberFormat="1" applyBorder="1" applyAlignment="1">
      <alignment/>
    </xf>
    <xf numFmtId="1" fontId="2" fillId="0" borderId="0" xfId="59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1" fontId="2" fillId="0" borderId="12" xfId="59" applyNumberFormat="1" applyFont="1" applyBorder="1" applyAlignment="1">
      <alignment horizontal="center"/>
    </xf>
    <xf numFmtId="1" fontId="2" fillId="0" borderId="24" xfId="59" applyNumberFormat="1" applyFont="1" applyBorder="1" applyAlignment="1">
      <alignment horizontal="center"/>
    </xf>
    <xf numFmtId="1" fontId="0" fillId="0" borderId="25" xfId="59" applyNumberFormat="1" applyFont="1" applyBorder="1" applyAlignment="1">
      <alignment/>
    </xf>
    <xf numFmtId="170" fontId="0" fillId="0" borderId="25" xfId="59" applyNumberFormat="1" applyFont="1" applyBorder="1" applyAlignment="1">
      <alignment horizontal="right"/>
    </xf>
    <xf numFmtId="170" fontId="0" fillId="0" borderId="25" xfId="59" applyNumberFormat="1" applyFont="1" applyBorder="1" applyAlignment="1">
      <alignment/>
    </xf>
    <xf numFmtId="170" fontId="0" fillId="0" borderId="26" xfId="59" applyNumberFormat="1" applyFont="1" applyBorder="1" applyAlignment="1">
      <alignment/>
    </xf>
    <xf numFmtId="0" fontId="0" fillId="34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0" fontId="2" fillId="34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3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9.57421875" style="0" customWidth="1"/>
    <col min="2" max="2" width="12.7109375" style="0" customWidth="1"/>
    <col min="3" max="3" width="65.28125" style="0" customWidth="1"/>
    <col min="4" max="5" width="12.7109375" style="0" hidden="1" customWidth="1"/>
    <col min="6" max="6" width="12.7109375" style="0" customWidth="1"/>
  </cols>
  <sheetData>
    <row r="2" ht="12">
      <c r="A2" s="8" t="s">
        <v>100</v>
      </c>
    </row>
    <row r="3" ht="12">
      <c r="A3" s="8"/>
    </row>
    <row r="4" spans="1:2" ht="12.75">
      <c r="A4" s="51" t="s">
        <v>55</v>
      </c>
      <c r="B4" s="45"/>
    </row>
    <row r="5" spans="1:2" ht="12.75">
      <c r="A5" s="44" t="s">
        <v>37</v>
      </c>
      <c r="B5" s="48">
        <v>349</v>
      </c>
    </row>
    <row r="6" spans="1:2" ht="12.75">
      <c r="A6" s="44" t="s">
        <v>49</v>
      </c>
      <c r="B6" s="48">
        <v>368</v>
      </c>
    </row>
    <row r="7" spans="1:2" ht="12.75">
      <c r="A7" s="47" t="s">
        <v>50</v>
      </c>
      <c r="B7" s="48">
        <v>567</v>
      </c>
    </row>
    <row r="9" spans="1:2" ht="12.75">
      <c r="A9" s="52" t="s">
        <v>54</v>
      </c>
      <c r="B9" s="59">
        <v>0.078</v>
      </c>
    </row>
    <row r="11" spans="1:3" ht="12.75">
      <c r="A11" s="52" t="s">
        <v>68</v>
      </c>
      <c r="B11" s="55">
        <v>116.98</v>
      </c>
      <c r="C11" t="s">
        <v>69</v>
      </c>
    </row>
    <row r="12" spans="2:3" ht="12">
      <c r="B12" s="56">
        <f>B11/2.2/1000</f>
        <v>0.053172727272727274</v>
      </c>
      <c r="C12" t="s">
        <v>70</v>
      </c>
    </row>
    <row r="15" spans="1:3" ht="12.75">
      <c r="A15" s="44" t="s">
        <v>56</v>
      </c>
      <c r="B15" s="45"/>
      <c r="C15" s="45"/>
    </row>
    <row r="16" spans="1:3" ht="37.5" customHeight="1">
      <c r="A16" s="44" t="s">
        <v>47</v>
      </c>
      <c r="B16" s="46" t="s">
        <v>44</v>
      </c>
      <c r="C16" s="53" t="s">
        <v>46</v>
      </c>
    </row>
    <row r="17" spans="1:3" ht="12">
      <c r="A17" s="45"/>
      <c r="B17" s="54" t="s">
        <v>45</v>
      </c>
      <c r="C17" s="45"/>
    </row>
    <row r="18" spans="1:3" ht="39">
      <c r="A18" s="42" t="s">
        <v>92</v>
      </c>
      <c r="B18" s="44">
        <v>349</v>
      </c>
      <c r="C18" s="44" t="s">
        <v>105</v>
      </c>
    </row>
    <row r="19" spans="1:3" ht="12">
      <c r="A19" s="43" t="s">
        <v>53</v>
      </c>
      <c r="B19" s="45">
        <v>437</v>
      </c>
      <c r="C19" s="45" t="s">
        <v>48</v>
      </c>
    </row>
    <row r="20" spans="1:5" ht="12">
      <c r="A20" s="43" t="s">
        <v>71</v>
      </c>
      <c r="B20" s="45">
        <v>368</v>
      </c>
      <c r="C20" s="45" t="s">
        <v>78</v>
      </c>
      <c r="D20">
        <v>6917</v>
      </c>
      <c r="E20" s="26">
        <f>D20*0.05317</f>
        <v>367.77689000000004</v>
      </c>
    </row>
    <row r="21" spans="1:5" ht="12">
      <c r="A21" s="43" t="s">
        <v>72</v>
      </c>
      <c r="B21" s="45">
        <v>575</v>
      </c>
      <c r="C21" s="45" t="s">
        <v>78</v>
      </c>
      <c r="D21">
        <v>10807</v>
      </c>
      <c r="E21" s="26">
        <f>D21*0.05317</f>
        <v>574.60819</v>
      </c>
    </row>
    <row r="22" spans="1:3" ht="12">
      <c r="A22" s="43" t="s">
        <v>51</v>
      </c>
      <c r="B22" s="57">
        <v>0</v>
      </c>
      <c r="C22" s="45" t="s">
        <v>52</v>
      </c>
    </row>
    <row r="25" ht="12" hidden="1">
      <c r="A25" s="8" t="s">
        <v>57</v>
      </c>
    </row>
    <row r="26" spans="1:3" ht="12" hidden="1">
      <c r="A26" t="s">
        <v>63</v>
      </c>
      <c r="B26">
        <v>0.365</v>
      </c>
      <c r="C26" t="s">
        <v>67</v>
      </c>
    </row>
    <row r="27" spans="1:3" ht="12" hidden="1">
      <c r="A27" t="s">
        <v>64</v>
      </c>
      <c r="B27">
        <v>0.819</v>
      </c>
      <c r="C27" t="s">
        <v>67</v>
      </c>
    </row>
    <row r="28" spans="1:3" ht="12" hidden="1">
      <c r="A28" t="s">
        <v>58</v>
      </c>
      <c r="B28">
        <v>6240</v>
      </c>
      <c r="C28" t="s">
        <v>11</v>
      </c>
    </row>
    <row r="29" spans="1:3" ht="12" hidden="1">
      <c r="A29" t="s">
        <v>59</v>
      </c>
      <c r="B29">
        <v>14000</v>
      </c>
      <c r="C29" t="s">
        <v>11</v>
      </c>
    </row>
    <row r="30" spans="1:3" ht="12" hidden="1">
      <c r="A30" t="s">
        <v>60</v>
      </c>
      <c r="B30">
        <v>9160</v>
      </c>
      <c r="C30" t="s">
        <v>11</v>
      </c>
    </row>
    <row r="31" spans="1:3" ht="12" hidden="1">
      <c r="A31" t="s">
        <v>61</v>
      </c>
      <c r="B31">
        <v>9590</v>
      </c>
      <c r="C31" t="s">
        <v>11</v>
      </c>
    </row>
    <row r="32" ht="12" hidden="1"/>
    <row r="33" spans="1:3" ht="12" hidden="1">
      <c r="A33" t="s">
        <v>62</v>
      </c>
      <c r="B33">
        <f>B26+(B30-B28)*((B27-B26)/(B29-B28))</f>
        <v>0.5358350515463918</v>
      </c>
      <c r="C33" t="s">
        <v>67</v>
      </c>
    </row>
    <row r="34" spans="1:3" ht="12" hidden="1">
      <c r="A34" t="s">
        <v>65</v>
      </c>
      <c r="B34">
        <f>B26+(B31-B28)*((B27-B26)/(B29-B28))</f>
        <v>0.5609922680412371</v>
      </c>
      <c r="C34" t="s">
        <v>67</v>
      </c>
    </row>
    <row r="35" spans="1:3" ht="12" hidden="1">
      <c r="A35" t="s">
        <v>66</v>
      </c>
      <c r="B35">
        <f>(B33+B34)/2</f>
        <v>0.5484136597938145</v>
      </c>
      <c r="C35" t="s">
        <v>67</v>
      </c>
    </row>
  </sheetData>
  <sheetProtection/>
  <dataValidations count="1">
    <dataValidation type="list" allowBlank="1" showInputMessage="1" showErrorMessage="1" sqref="B5:B7">
      <formula1>$B$18:$B$22</formula1>
    </dataValidation>
  </dataValidations>
  <printOptions/>
  <pageMargins left="0.75" right="0.75" top="1" bottom="1" header="0.5" footer="0.5"/>
  <pageSetup horizontalDpi="600" verticalDpi="600" orientation="landscape" scale="69" r:id="rId1"/>
  <headerFooter alignWithMargins="0">
    <oddHeader xml:space="preserve">&amp;CAppendix A: SGIP Staff Proposal GHG Analysis Workbook, Page 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17" width="12.7109375" style="0" customWidth="1"/>
  </cols>
  <sheetData>
    <row r="1" ht="12.75">
      <c r="A1" s="30" t="s">
        <v>97</v>
      </c>
    </row>
    <row r="3" ht="12.75">
      <c r="A3" s="77" t="s">
        <v>93</v>
      </c>
    </row>
    <row r="4" spans="1:2" ht="12">
      <c r="A4" t="s">
        <v>6</v>
      </c>
      <c r="B4" s="1">
        <v>0.8</v>
      </c>
    </row>
    <row r="5" spans="1:15" ht="12">
      <c r="A5" t="s">
        <v>26</v>
      </c>
      <c r="B5" s="1">
        <v>0.01</v>
      </c>
      <c r="D5" s="33"/>
      <c r="E5" s="14"/>
      <c r="F5" s="14"/>
      <c r="G5" s="14"/>
      <c r="H5" s="14"/>
      <c r="I5" s="14"/>
      <c r="J5" s="14"/>
      <c r="K5" s="23"/>
      <c r="L5" s="14"/>
      <c r="M5" s="14"/>
      <c r="N5" s="15"/>
      <c r="O5" s="31"/>
    </row>
    <row r="6" spans="2:15" ht="12.75" thickBot="1">
      <c r="B6" s="76"/>
      <c r="D6" s="33"/>
      <c r="E6" s="14"/>
      <c r="F6" s="14"/>
      <c r="G6" s="14"/>
      <c r="H6" s="14"/>
      <c r="I6" s="14"/>
      <c r="J6" s="14"/>
      <c r="K6" s="23"/>
      <c r="L6" s="14"/>
      <c r="M6" s="14"/>
      <c r="N6" s="15"/>
      <c r="O6" s="31"/>
    </row>
    <row r="7" spans="1:6" ht="63" customHeight="1">
      <c r="A7" s="73" t="s">
        <v>8</v>
      </c>
      <c r="B7" s="74" t="s">
        <v>94</v>
      </c>
      <c r="C7" s="74" t="s">
        <v>111</v>
      </c>
      <c r="D7" s="75" t="s">
        <v>110</v>
      </c>
      <c r="E7" s="92" t="s">
        <v>107</v>
      </c>
      <c r="F7" s="99" t="s">
        <v>108</v>
      </c>
    </row>
    <row r="8" spans="1:6" s="9" customFormat="1" ht="12.75">
      <c r="A8" s="72" t="s">
        <v>95</v>
      </c>
      <c r="B8" s="80">
        <v>0.1</v>
      </c>
      <c r="C8" s="64">
        <v>0.516</v>
      </c>
      <c r="D8" s="65">
        <v>0</v>
      </c>
      <c r="E8" s="93" t="str">
        <f>IF(Q36&gt;0,"Yes","No")</f>
        <v>Yes</v>
      </c>
      <c r="F8" s="95">
        <v>0</v>
      </c>
    </row>
    <row r="9" spans="1:6" s="9" customFormat="1" ht="12.75">
      <c r="A9" s="72" t="s">
        <v>77</v>
      </c>
      <c r="B9" s="80">
        <v>1</v>
      </c>
      <c r="C9" s="64">
        <v>0.3791</v>
      </c>
      <c r="D9" s="65">
        <v>0.62</v>
      </c>
      <c r="E9" s="93" t="str">
        <f>IF(Q56&gt;0,"Yes","No")</f>
        <v>Yes</v>
      </c>
      <c r="F9" s="96" t="s">
        <v>39</v>
      </c>
    </row>
    <row r="10" spans="1:6" s="9" customFormat="1" ht="12.75">
      <c r="A10" s="62" t="s">
        <v>9</v>
      </c>
      <c r="B10" s="80">
        <v>10</v>
      </c>
      <c r="C10" s="64">
        <v>0.29</v>
      </c>
      <c r="D10" s="65">
        <v>0.62</v>
      </c>
      <c r="E10" s="93" t="str">
        <f>IF(Q76&gt;0,"Yes","No")</f>
        <v>Yes</v>
      </c>
      <c r="F10" s="97">
        <v>0.687</v>
      </c>
    </row>
    <row r="11" spans="1:6" s="9" customFormat="1" ht="12.75">
      <c r="A11" s="62" t="s">
        <v>33</v>
      </c>
      <c r="B11" s="80">
        <v>0.1</v>
      </c>
      <c r="C11" s="64">
        <v>0.271</v>
      </c>
      <c r="D11" s="65">
        <v>0.62</v>
      </c>
      <c r="E11" s="93" t="str">
        <f>IF(Q96&gt;0,"Yes","No")</f>
        <v>No</v>
      </c>
      <c r="F11" s="97">
        <v>0.81</v>
      </c>
    </row>
    <row r="12" spans="1:11" ht="12.75">
      <c r="A12" s="62" t="s">
        <v>34</v>
      </c>
      <c r="B12" s="80">
        <v>0.8</v>
      </c>
      <c r="C12" s="66">
        <v>0.35</v>
      </c>
      <c r="D12" s="65">
        <v>0.62</v>
      </c>
      <c r="E12" s="93" t="str">
        <f>IF(Q116&gt;0,"Yes","No")</f>
        <v>Yes</v>
      </c>
      <c r="F12" s="97">
        <v>0.79</v>
      </c>
      <c r="J12" s="9"/>
      <c r="K12" s="9"/>
    </row>
    <row r="13" spans="1:6" ht="12.75">
      <c r="A13" s="62" t="s">
        <v>10</v>
      </c>
      <c r="B13" s="80">
        <v>0.065</v>
      </c>
      <c r="C13" s="64">
        <v>0.252</v>
      </c>
      <c r="D13" s="65">
        <v>0.62</v>
      </c>
      <c r="E13" s="93" t="str">
        <f>IF(Q136&gt;0,"Yes","No")</f>
        <v>No</v>
      </c>
      <c r="F13" s="97">
        <v>0.715</v>
      </c>
    </row>
    <row r="14" spans="1:6" ht="13.5" thickBot="1">
      <c r="A14" s="68" t="s">
        <v>96</v>
      </c>
      <c r="B14" s="81">
        <f>SUM(B10:B13)/4</f>
        <v>2.74125</v>
      </c>
      <c r="C14" s="69">
        <f>SUM(B10*C10,B11*C11,B12*C12,B13*C13)/SUM(B10:B13)</f>
        <v>0.29397902416780664</v>
      </c>
      <c r="D14" s="69">
        <f>SUM(B10*D10,B11*D11,B12*D12,B13*D13)/SUM(B10:B13)</f>
        <v>0.6200000000000001</v>
      </c>
      <c r="E14" s="94" t="str">
        <f>IF(Q156&gt;0,"Yes","No")</f>
        <v>Yes</v>
      </c>
      <c r="F14" s="98">
        <f>SUM(C10*F10,C11*F11,C12*F12,C13*F13)/SUM(C10:C13)</f>
        <v>0.7527257093723131</v>
      </c>
    </row>
    <row r="15" spans="1:10" ht="12.75">
      <c r="A15" s="70"/>
      <c r="B15" s="89"/>
      <c r="C15" s="67"/>
      <c r="D15" s="67"/>
      <c r="E15" s="90"/>
      <c r="F15" s="67"/>
      <c r="J15" s="28"/>
    </row>
    <row r="16" spans="1:10" ht="12.75">
      <c r="A16" s="70"/>
      <c r="B16" s="34"/>
      <c r="C16" s="67"/>
      <c r="D16" s="67"/>
      <c r="E16" s="67"/>
      <c r="J16" s="28"/>
    </row>
    <row r="17" spans="1:10" ht="12.75">
      <c r="A17" s="77" t="s">
        <v>102</v>
      </c>
      <c r="J17" s="28"/>
    </row>
    <row r="18" spans="1:10" ht="12">
      <c r="A18" t="s">
        <v>7</v>
      </c>
      <c r="B18" s="49">
        <f>'Standard Assumptions'!B5</f>
        <v>349</v>
      </c>
      <c r="C18" t="s">
        <v>12</v>
      </c>
      <c r="J18" s="101"/>
    </row>
    <row r="19" spans="1:2" ht="12">
      <c r="A19" t="s">
        <v>15</v>
      </c>
      <c r="B19" s="50">
        <f>'Standard Assumptions'!B9</f>
        <v>0.078</v>
      </c>
    </row>
    <row r="20" spans="1:2" ht="12">
      <c r="A20" t="s">
        <v>99</v>
      </c>
      <c r="B20" s="1">
        <v>0.8</v>
      </c>
    </row>
    <row r="22" ht="12.75">
      <c r="A22" s="86" t="str">
        <f>A25</f>
        <v>Electric-only Fuel Cells</v>
      </c>
    </row>
    <row r="23" spans="1:17" ht="39">
      <c r="A23" s="71"/>
      <c r="B23" s="3"/>
      <c r="C23" s="4" t="s">
        <v>3</v>
      </c>
      <c r="D23" s="4" t="s">
        <v>16</v>
      </c>
      <c r="E23" s="4" t="s">
        <v>98</v>
      </c>
      <c r="F23" s="6" t="s">
        <v>21</v>
      </c>
      <c r="G23" s="6" t="s">
        <v>28</v>
      </c>
      <c r="H23" s="11" t="s">
        <v>14</v>
      </c>
      <c r="I23" s="11" t="s">
        <v>17</v>
      </c>
      <c r="J23" s="12" t="s">
        <v>27</v>
      </c>
      <c r="K23" s="5" t="s">
        <v>5</v>
      </c>
      <c r="L23" s="5" t="s">
        <v>19</v>
      </c>
      <c r="M23" s="16" t="s">
        <v>29</v>
      </c>
      <c r="N23" s="5" t="s">
        <v>35</v>
      </c>
      <c r="O23" s="5" t="s">
        <v>18</v>
      </c>
      <c r="P23" s="22" t="s">
        <v>30</v>
      </c>
      <c r="Q23" s="21" t="s">
        <v>31</v>
      </c>
    </row>
    <row r="24" spans="1:17" ht="26.25" thickBot="1">
      <c r="A24" s="78" t="s">
        <v>8</v>
      </c>
      <c r="B24" s="3" t="s">
        <v>32</v>
      </c>
      <c r="C24" s="4" t="s">
        <v>4</v>
      </c>
      <c r="D24" s="4" t="s">
        <v>2</v>
      </c>
      <c r="E24" s="4" t="s">
        <v>2</v>
      </c>
      <c r="F24" s="6" t="s">
        <v>11</v>
      </c>
      <c r="G24" s="6" t="s">
        <v>1</v>
      </c>
      <c r="H24" s="6" t="s">
        <v>1</v>
      </c>
      <c r="I24" s="6" t="s">
        <v>1</v>
      </c>
      <c r="J24" s="22" t="s">
        <v>13</v>
      </c>
      <c r="K24" s="4" t="s">
        <v>0</v>
      </c>
      <c r="L24" s="4" t="s">
        <v>20</v>
      </c>
      <c r="M24" s="17" t="s">
        <v>13</v>
      </c>
      <c r="N24" s="4" t="s">
        <v>0</v>
      </c>
      <c r="O24" s="4" t="s">
        <v>0</v>
      </c>
      <c r="P24" s="22" t="s">
        <v>13</v>
      </c>
      <c r="Q24" s="21" t="s">
        <v>13</v>
      </c>
    </row>
    <row r="25" spans="1:17" ht="13.5" thickBot="1">
      <c r="A25" s="79" t="s">
        <v>95</v>
      </c>
      <c r="B25">
        <v>1</v>
      </c>
      <c r="C25">
        <f>VLOOKUP(A25,A8:E14,2,FALSE)</f>
        <v>0.1</v>
      </c>
      <c r="D25" s="28">
        <f>VLOOKUP(A25,A8:E14,3,FALSE)</f>
        <v>0.516</v>
      </c>
      <c r="E25" s="28">
        <f>VLOOKUP(A25,A8:E14,4,FALSE)</f>
        <v>0</v>
      </c>
      <c r="F25" s="14">
        <f aca="true" t="shared" si="0" ref="F25:F34">3412/D25</f>
        <v>6612.403100775194</v>
      </c>
      <c r="G25" s="14">
        <f>C25*8760*$B$4</f>
        <v>700.8000000000001</v>
      </c>
      <c r="H25" s="14">
        <f>G25/(1-$B$19)-G25</f>
        <v>59.286767895878484</v>
      </c>
      <c r="I25" s="14">
        <f>H25+G25</f>
        <v>760.0867678958786</v>
      </c>
      <c r="J25" s="18">
        <f>(I25)*$B$18/1000</f>
        <v>265.2702819956616</v>
      </c>
      <c r="K25" s="14">
        <f>F25*G25*1000/10^6</f>
        <v>4633.972093023256</v>
      </c>
      <c r="L25" s="23">
        <f>'Standard Assumptions'!$B$12</f>
        <v>0.053172727272727274</v>
      </c>
      <c r="M25" s="19">
        <f>K25*L25</f>
        <v>246.40093429175477</v>
      </c>
      <c r="N25" s="14">
        <f>IF(E25=0,0,(E25*K25-(G25*3412*1000/10^6)))</f>
        <v>0</v>
      </c>
      <c r="O25" s="15">
        <f>N25/(K25-(G25*3412*1000/10^6))</f>
        <v>0</v>
      </c>
      <c r="P25" s="24">
        <f>(N25/0.8)*L25</f>
        <v>0</v>
      </c>
      <c r="Q25" s="25">
        <f>(P25+J25)-M25</f>
        <v>18.86934770390684</v>
      </c>
    </row>
    <row r="26" spans="2:17" ht="12.75">
      <c r="B26">
        <v>2</v>
      </c>
      <c r="C26">
        <f>C25</f>
        <v>0.1</v>
      </c>
      <c r="D26" s="28">
        <f>D25*(1-$B$5)</f>
        <v>0.51084</v>
      </c>
      <c r="E26" s="28">
        <f>E25</f>
        <v>0</v>
      </c>
      <c r="F26" s="14">
        <f t="shared" si="0"/>
        <v>6679.195051288075</v>
      </c>
      <c r="G26" s="14">
        <f>K26/F26*1000</f>
        <v>693.7919999999999</v>
      </c>
      <c r="H26" s="14">
        <f aca="true" t="shared" si="1" ref="H26:H34">G26/(1-$B$19)-G26</f>
        <v>58.6939002169197</v>
      </c>
      <c r="I26" s="14">
        <f aca="true" t="shared" si="2" ref="I26:I34">H26+G26</f>
        <v>752.4859002169196</v>
      </c>
      <c r="J26" s="18">
        <f aca="true" t="shared" si="3" ref="J26:J34">(I26)*$B$18/1000</f>
        <v>262.617579175705</v>
      </c>
      <c r="K26" s="14">
        <f>K25</f>
        <v>4633.972093023256</v>
      </c>
      <c r="L26" s="23">
        <f>L25</f>
        <v>0.053172727272727274</v>
      </c>
      <c r="M26" s="19">
        <f aca="true" t="shared" si="4" ref="M26:M34">K26*L26</f>
        <v>246.40093429175477</v>
      </c>
      <c r="N26" s="14">
        <f aca="true" t="shared" si="5" ref="N26:N34">IF(E26=0,0,(E26*K26-(G26*3412*1000/10^6)))</f>
        <v>0</v>
      </c>
      <c r="O26" s="15">
        <f aca="true" t="shared" si="6" ref="O26:O34">N26/(K26-(G26*3412*1000/10^6))</f>
        <v>0</v>
      </c>
      <c r="P26" s="24">
        <f aca="true" t="shared" si="7" ref="P26:P34">(N26/0.8)*L26</f>
        <v>0</v>
      </c>
      <c r="Q26" s="25">
        <f aca="true" t="shared" si="8" ref="Q26:Q34">(P26+J26)-M26</f>
        <v>16.21664488395021</v>
      </c>
    </row>
    <row r="27" spans="2:17" ht="12.75">
      <c r="B27">
        <v>3</v>
      </c>
      <c r="C27">
        <f aca="true" t="shared" si="9" ref="C27:C34">C26</f>
        <v>0.1</v>
      </c>
      <c r="D27" s="28">
        <f aca="true" t="shared" si="10" ref="D27:D34">D26*(1-$B$5)</f>
        <v>0.5057316</v>
      </c>
      <c r="E27" s="28">
        <f aca="true" t="shared" si="11" ref="E27:E34">E26</f>
        <v>0</v>
      </c>
      <c r="F27" s="14">
        <f t="shared" si="0"/>
        <v>6746.661667967753</v>
      </c>
      <c r="G27" s="14">
        <f aca="true" t="shared" si="12" ref="G27:G34">K27/F27*1000</f>
        <v>686.85408</v>
      </c>
      <c r="H27" s="14">
        <f t="shared" si="1"/>
        <v>58.10696121475053</v>
      </c>
      <c r="I27" s="14">
        <f t="shared" si="2"/>
        <v>744.9610412147505</v>
      </c>
      <c r="J27" s="18">
        <f t="shared" si="3"/>
        <v>259.9914033839479</v>
      </c>
      <c r="K27" s="14">
        <f aca="true" t="shared" si="13" ref="K27:K34">K26</f>
        <v>4633.972093023256</v>
      </c>
      <c r="L27" s="23">
        <f aca="true" t="shared" si="14" ref="L27:L34">L26</f>
        <v>0.053172727272727274</v>
      </c>
      <c r="M27" s="19">
        <f t="shared" si="4"/>
        <v>246.40093429175477</v>
      </c>
      <c r="N27" s="14">
        <f t="shared" si="5"/>
        <v>0</v>
      </c>
      <c r="O27" s="15">
        <f t="shared" si="6"/>
        <v>0</v>
      </c>
      <c r="P27" s="24">
        <f t="shared" si="7"/>
        <v>0</v>
      </c>
      <c r="Q27" s="25">
        <f t="shared" si="8"/>
        <v>13.590469092193132</v>
      </c>
    </row>
    <row r="28" spans="2:17" ht="12.75">
      <c r="B28">
        <v>4</v>
      </c>
      <c r="C28">
        <f t="shared" si="9"/>
        <v>0.1</v>
      </c>
      <c r="D28" s="28">
        <f t="shared" si="10"/>
        <v>0.5006742839999999</v>
      </c>
      <c r="E28" s="28">
        <f t="shared" si="11"/>
        <v>0</v>
      </c>
      <c r="F28" s="14">
        <f t="shared" si="0"/>
        <v>6814.809765623993</v>
      </c>
      <c r="G28" s="14">
        <f t="shared" si="12"/>
        <v>679.9855392</v>
      </c>
      <c r="H28" s="14">
        <f t="shared" si="1"/>
        <v>57.525891602603</v>
      </c>
      <c r="I28" s="14">
        <f t="shared" si="2"/>
        <v>737.511430802603</v>
      </c>
      <c r="J28" s="18">
        <f t="shared" si="3"/>
        <v>257.39148935010843</v>
      </c>
      <c r="K28" s="14">
        <f t="shared" si="13"/>
        <v>4633.972093023256</v>
      </c>
      <c r="L28" s="23">
        <f t="shared" si="14"/>
        <v>0.053172727272727274</v>
      </c>
      <c r="M28" s="19">
        <f t="shared" si="4"/>
        <v>246.40093429175477</v>
      </c>
      <c r="N28" s="14">
        <f t="shared" si="5"/>
        <v>0</v>
      </c>
      <c r="O28" s="15">
        <f t="shared" si="6"/>
        <v>0</v>
      </c>
      <c r="P28" s="24">
        <f t="shared" si="7"/>
        <v>0</v>
      </c>
      <c r="Q28" s="25">
        <f t="shared" si="8"/>
        <v>10.990555058353664</v>
      </c>
    </row>
    <row r="29" spans="2:17" ht="12.75">
      <c r="B29">
        <v>5</v>
      </c>
      <c r="C29">
        <f t="shared" si="9"/>
        <v>0.1</v>
      </c>
      <c r="D29" s="28">
        <f t="shared" si="10"/>
        <v>0.4956675411599999</v>
      </c>
      <c r="E29" s="28">
        <f t="shared" si="11"/>
        <v>0</v>
      </c>
      <c r="F29" s="14">
        <f t="shared" si="0"/>
        <v>6883.646227903024</v>
      </c>
      <c r="G29" s="14">
        <f t="shared" si="12"/>
        <v>673.1856838079999</v>
      </c>
      <c r="H29" s="14">
        <f t="shared" si="1"/>
        <v>56.95063268657691</v>
      </c>
      <c r="I29" s="14">
        <f t="shared" si="2"/>
        <v>730.1363164945768</v>
      </c>
      <c r="J29" s="18">
        <f t="shared" si="3"/>
        <v>254.8175744566073</v>
      </c>
      <c r="K29" s="14">
        <f t="shared" si="13"/>
        <v>4633.972093023256</v>
      </c>
      <c r="L29" s="23">
        <f t="shared" si="14"/>
        <v>0.053172727272727274</v>
      </c>
      <c r="M29" s="19">
        <f t="shared" si="4"/>
        <v>246.40093429175477</v>
      </c>
      <c r="N29" s="14">
        <f t="shared" si="5"/>
        <v>0</v>
      </c>
      <c r="O29" s="15">
        <f t="shared" si="6"/>
        <v>0</v>
      </c>
      <c r="P29" s="24">
        <f t="shared" si="7"/>
        <v>0</v>
      </c>
      <c r="Q29" s="25">
        <f t="shared" si="8"/>
        <v>8.416640164852538</v>
      </c>
    </row>
    <row r="30" spans="2:17" ht="12.75">
      <c r="B30">
        <v>6</v>
      </c>
      <c r="C30">
        <f t="shared" si="9"/>
        <v>0.1</v>
      </c>
      <c r="D30" s="28">
        <f t="shared" si="10"/>
        <v>0.4907108657483999</v>
      </c>
      <c r="E30" s="28">
        <f t="shared" si="11"/>
        <v>0</v>
      </c>
      <c r="F30" s="14">
        <f t="shared" si="0"/>
        <v>6953.178007982852</v>
      </c>
      <c r="G30" s="14">
        <f t="shared" si="12"/>
        <v>666.4538269699199</v>
      </c>
      <c r="H30" s="14">
        <f t="shared" si="1"/>
        <v>56.381126359711175</v>
      </c>
      <c r="I30" s="14">
        <f t="shared" si="2"/>
        <v>722.834953329631</v>
      </c>
      <c r="J30" s="18">
        <f t="shared" si="3"/>
        <v>252.26939871204124</v>
      </c>
      <c r="K30" s="14">
        <f t="shared" si="13"/>
        <v>4633.972093023256</v>
      </c>
      <c r="L30" s="23">
        <f t="shared" si="14"/>
        <v>0.053172727272727274</v>
      </c>
      <c r="M30" s="19">
        <f t="shared" si="4"/>
        <v>246.40093429175477</v>
      </c>
      <c r="N30" s="14">
        <f t="shared" si="5"/>
        <v>0</v>
      </c>
      <c r="O30" s="15">
        <f t="shared" si="6"/>
        <v>0</v>
      </c>
      <c r="P30" s="24">
        <f t="shared" si="7"/>
        <v>0</v>
      </c>
      <c r="Q30" s="25">
        <f t="shared" si="8"/>
        <v>5.868464420286472</v>
      </c>
    </row>
    <row r="31" spans="2:17" ht="12.75">
      <c r="B31">
        <v>7</v>
      </c>
      <c r="C31">
        <f t="shared" si="9"/>
        <v>0.1</v>
      </c>
      <c r="D31" s="28">
        <f t="shared" si="10"/>
        <v>0.4858037570909159</v>
      </c>
      <c r="E31" s="28">
        <f t="shared" si="11"/>
        <v>0</v>
      </c>
      <c r="F31" s="14">
        <f t="shared" si="0"/>
        <v>7023.412129275608</v>
      </c>
      <c r="G31" s="14">
        <f t="shared" si="12"/>
        <v>659.7892887002207</v>
      </c>
      <c r="H31" s="14">
        <f t="shared" si="1"/>
        <v>55.817315096114044</v>
      </c>
      <c r="I31" s="14">
        <f t="shared" si="2"/>
        <v>715.6066037963348</v>
      </c>
      <c r="J31" s="18">
        <f t="shared" si="3"/>
        <v>249.74670472492082</v>
      </c>
      <c r="K31" s="14">
        <f t="shared" si="13"/>
        <v>4633.972093023256</v>
      </c>
      <c r="L31" s="23">
        <f t="shared" si="14"/>
        <v>0.053172727272727274</v>
      </c>
      <c r="M31" s="19">
        <f t="shared" si="4"/>
        <v>246.40093429175477</v>
      </c>
      <c r="N31" s="14">
        <f t="shared" si="5"/>
        <v>0</v>
      </c>
      <c r="O31" s="15">
        <f t="shared" si="6"/>
        <v>0</v>
      </c>
      <c r="P31" s="24">
        <f t="shared" si="7"/>
        <v>0</v>
      </c>
      <c r="Q31" s="25">
        <f t="shared" si="8"/>
        <v>3.3457704331660523</v>
      </c>
    </row>
    <row r="32" spans="2:17" ht="12.75">
      <c r="B32">
        <v>8</v>
      </c>
      <c r="C32">
        <f t="shared" si="9"/>
        <v>0.1</v>
      </c>
      <c r="D32" s="28">
        <f t="shared" si="10"/>
        <v>0.4809457195200067</v>
      </c>
      <c r="E32" s="28">
        <f t="shared" si="11"/>
        <v>0</v>
      </c>
      <c r="F32" s="14">
        <f t="shared" si="0"/>
        <v>7094.355686136979</v>
      </c>
      <c r="G32" s="14">
        <f t="shared" si="12"/>
        <v>653.1913958132184</v>
      </c>
      <c r="H32" s="14">
        <f t="shared" si="1"/>
        <v>55.25914194515292</v>
      </c>
      <c r="I32" s="14">
        <f t="shared" si="2"/>
        <v>708.4505377583713</v>
      </c>
      <c r="J32" s="18">
        <f t="shared" si="3"/>
        <v>247.24923767767157</v>
      </c>
      <c r="K32" s="14">
        <f t="shared" si="13"/>
        <v>4633.972093023256</v>
      </c>
      <c r="L32" s="23">
        <f t="shared" si="14"/>
        <v>0.053172727272727274</v>
      </c>
      <c r="M32" s="19">
        <f t="shared" si="4"/>
        <v>246.40093429175477</v>
      </c>
      <c r="N32" s="14">
        <f t="shared" si="5"/>
        <v>0</v>
      </c>
      <c r="O32" s="15">
        <f t="shared" si="6"/>
        <v>0</v>
      </c>
      <c r="P32" s="24">
        <f t="shared" si="7"/>
        <v>0</v>
      </c>
      <c r="Q32" s="25">
        <f t="shared" si="8"/>
        <v>0.8483033859168074</v>
      </c>
    </row>
    <row r="33" spans="2:17" ht="12.75">
      <c r="B33">
        <v>9</v>
      </c>
      <c r="C33">
        <f t="shared" si="9"/>
        <v>0.1</v>
      </c>
      <c r="D33" s="28">
        <f t="shared" si="10"/>
        <v>0.4761362623248066</v>
      </c>
      <c r="E33" s="28">
        <f t="shared" si="11"/>
        <v>0</v>
      </c>
      <c r="F33" s="14">
        <f t="shared" si="0"/>
        <v>7166.015844582807</v>
      </c>
      <c r="G33" s="14">
        <f t="shared" si="12"/>
        <v>646.6594818550861</v>
      </c>
      <c r="H33" s="14">
        <f t="shared" si="1"/>
        <v>54.706550525701346</v>
      </c>
      <c r="I33" s="14">
        <f t="shared" si="2"/>
        <v>701.3660323807875</v>
      </c>
      <c r="J33" s="18">
        <f t="shared" si="3"/>
        <v>244.77674530089485</v>
      </c>
      <c r="K33" s="14">
        <f t="shared" si="13"/>
        <v>4633.972093023256</v>
      </c>
      <c r="L33" s="23">
        <f t="shared" si="14"/>
        <v>0.053172727272727274</v>
      </c>
      <c r="M33" s="19">
        <f t="shared" si="4"/>
        <v>246.40093429175477</v>
      </c>
      <c r="N33" s="14">
        <f t="shared" si="5"/>
        <v>0</v>
      </c>
      <c r="O33" s="15">
        <f t="shared" si="6"/>
        <v>0</v>
      </c>
      <c r="P33" s="24">
        <f t="shared" si="7"/>
        <v>0</v>
      </c>
      <c r="Q33" s="25">
        <f t="shared" si="8"/>
        <v>-1.6241889908599205</v>
      </c>
    </row>
    <row r="34" spans="2:17" ht="12.75">
      <c r="B34">
        <v>10</v>
      </c>
      <c r="C34">
        <f t="shared" si="9"/>
        <v>0.1</v>
      </c>
      <c r="D34" s="28">
        <f t="shared" si="10"/>
        <v>0.47137489970155855</v>
      </c>
      <c r="E34" s="28">
        <f t="shared" si="11"/>
        <v>0</v>
      </c>
      <c r="F34" s="14">
        <f t="shared" si="0"/>
        <v>7238.399843012936</v>
      </c>
      <c r="G34" s="14">
        <f t="shared" si="12"/>
        <v>640.1928870365355</v>
      </c>
      <c r="H34" s="14">
        <f t="shared" si="1"/>
        <v>54.159485020444436</v>
      </c>
      <c r="I34" s="14">
        <f t="shared" si="2"/>
        <v>694.3523720569799</v>
      </c>
      <c r="J34" s="18">
        <f t="shared" si="3"/>
        <v>242.328977847886</v>
      </c>
      <c r="K34" s="14">
        <f t="shared" si="13"/>
        <v>4633.972093023256</v>
      </c>
      <c r="L34" s="23">
        <f t="shared" si="14"/>
        <v>0.053172727272727274</v>
      </c>
      <c r="M34" s="19">
        <f t="shared" si="4"/>
        <v>246.40093429175477</v>
      </c>
      <c r="N34" s="14">
        <f t="shared" si="5"/>
        <v>0</v>
      </c>
      <c r="O34" s="15">
        <f t="shared" si="6"/>
        <v>0</v>
      </c>
      <c r="P34" s="24">
        <f t="shared" si="7"/>
        <v>0</v>
      </c>
      <c r="Q34" s="25">
        <f t="shared" si="8"/>
        <v>-4.071956443868771</v>
      </c>
    </row>
    <row r="36" spans="1:17" ht="12.75">
      <c r="A36" s="30" t="s">
        <v>73</v>
      </c>
      <c r="C36" s="36">
        <f>SUM(C25:C34)/10</f>
        <v>0.09999999999999999</v>
      </c>
      <c r="D36" s="37">
        <f>SUM(D25:D34)/10</f>
        <v>0.49338849295456877</v>
      </c>
      <c r="E36" s="37">
        <f>E25</f>
        <v>0</v>
      </c>
      <c r="F36" s="38">
        <f>SUM(F25:F34)/10</f>
        <v>6921.207732454923</v>
      </c>
      <c r="G36" s="35">
        <f>SUM(G25:G34)</f>
        <v>6700.90418338298</v>
      </c>
      <c r="H36" s="35">
        <f aca="true" t="shared" si="15" ref="H36:Q36">SUM(H25:H34)</f>
        <v>566.8877725638525</v>
      </c>
      <c r="I36" s="35">
        <f t="shared" si="15"/>
        <v>7267.791955946833</v>
      </c>
      <c r="J36" s="35">
        <f t="shared" si="15"/>
        <v>2536.459392625445</v>
      </c>
      <c r="K36" s="35">
        <f t="shared" si="15"/>
        <v>46339.72093023257</v>
      </c>
      <c r="L36" s="39">
        <f>SUM(L25:L34)/10</f>
        <v>0.053172727272727274</v>
      </c>
      <c r="M36" s="35">
        <f t="shared" si="15"/>
        <v>2464.0093429175477</v>
      </c>
      <c r="N36" s="35">
        <f t="shared" si="15"/>
        <v>0</v>
      </c>
      <c r="O36" s="37">
        <f>SUM(O25:O34)/10</f>
        <v>0</v>
      </c>
      <c r="P36" s="35">
        <f t="shared" si="15"/>
        <v>0</v>
      </c>
      <c r="Q36" s="63">
        <f t="shared" si="15"/>
        <v>72.45004970789702</v>
      </c>
    </row>
    <row r="37" spans="1:17" ht="12.75">
      <c r="A37" s="30" t="s">
        <v>74</v>
      </c>
      <c r="C37" s="30">
        <v>1</v>
      </c>
      <c r="D37" s="37">
        <f>D36</f>
        <v>0.49338849295456877</v>
      </c>
      <c r="E37" s="37">
        <f>E25</f>
        <v>0</v>
      </c>
      <c r="F37" s="40">
        <f>F36</f>
        <v>6921.207732454923</v>
      </c>
      <c r="G37" s="35">
        <f>G36*($C37/$C36)</f>
        <v>67009.0418338298</v>
      </c>
      <c r="H37" s="35">
        <f>H36*($C37/$C36)</f>
        <v>5668.877725638526</v>
      </c>
      <c r="I37" s="35">
        <f>I36*($C37/$C36)</f>
        <v>72677.91955946833</v>
      </c>
      <c r="J37" s="35">
        <f>J36*($C37/$C36)</f>
        <v>25364.593926254453</v>
      </c>
      <c r="K37" s="35">
        <f>K36*($C37/$C36)</f>
        <v>463397.20930232573</v>
      </c>
      <c r="L37" s="41">
        <f>L36</f>
        <v>0.053172727272727274</v>
      </c>
      <c r="M37" s="35">
        <f>M36*($C37/$C36)</f>
        <v>24640.093429175475</v>
      </c>
      <c r="N37" s="35">
        <f>N36*($C37/$C36)</f>
        <v>0</v>
      </c>
      <c r="O37" s="37">
        <f>O36</f>
        <v>0</v>
      </c>
      <c r="P37" s="35">
        <f>P36*($C37/$C36)</f>
        <v>0</v>
      </c>
      <c r="Q37" s="63">
        <f>Q36*($C37/$C36)</f>
        <v>724.5004970789703</v>
      </c>
    </row>
    <row r="38" ht="12.75">
      <c r="A38" s="100" t="s">
        <v>109</v>
      </c>
    </row>
    <row r="41" ht="12">
      <c r="M41" s="91"/>
    </row>
    <row r="42" ht="12.75">
      <c r="A42" s="86" t="str">
        <f>A45</f>
        <v>Fuel Cell CHP</v>
      </c>
    </row>
    <row r="43" spans="1:17" ht="39">
      <c r="A43" s="71"/>
      <c r="B43" s="3"/>
      <c r="C43" s="4" t="s">
        <v>3</v>
      </c>
      <c r="D43" s="4" t="s">
        <v>106</v>
      </c>
      <c r="E43" s="4" t="s">
        <v>98</v>
      </c>
      <c r="F43" s="6" t="s">
        <v>21</v>
      </c>
      <c r="G43" s="6" t="s">
        <v>28</v>
      </c>
      <c r="H43" s="11" t="s">
        <v>14</v>
      </c>
      <c r="I43" s="11" t="s">
        <v>17</v>
      </c>
      <c r="J43" s="12" t="s">
        <v>27</v>
      </c>
      <c r="K43" s="5" t="s">
        <v>5</v>
      </c>
      <c r="L43" s="5" t="s">
        <v>19</v>
      </c>
      <c r="M43" s="16" t="s">
        <v>29</v>
      </c>
      <c r="N43" s="5" t="s">
        <v>35</v>
      </c>
      <c r="O43" s="5" t="s">
        <v>18</v>
      </c>
      <c r="P43" s="22" t="s">
        <v>30</v>
      </c>
      <c r="Q43" s="21" t="s">
        <v>31</v>
      </c>
    </row>
    <row r="44" spans="1:17" ht="26.25" thickBot="1">
      <c r="A44" s="78" t="s">
        <v>8</v>
      </c>
      <c r="B44" s="3" t="s">
        <v>32</v>
      </c>
      <c r="C44" s="4" t="s">
        <v>4</v>
      </c>
      <c r="D44" s="4" t="s">
        <v>2</v>
      </c>
      <c r="E44" s="4" t="s">
        <v>2</v>
      </c>
      <c r="F44" s="6" t="s">
        <v>11</v>
      </c>
      <c r="G44" s="6" t="s">
        <v>1</v>
      </c>
      <c r="H44" s="6" t="s">
        <v>1</v>
      </c>
      <c r="I44" s="6" t="s">
        <v>1</v>
      </c>
      <c r="J44" s="22" t="s">
        <v>13</v>
      </c>
      <c r="K44" s="4" t="s">
        <v>0</v>
      </c>
      <c r="L44" s="4" t="s">
        <v>20</v>
      </c>
      <c r="M44" s="17" t="s">
        <v>13</v>
      </c>
      <c r="N44" s="4" t="s">
        <v>0</v>
      </c>
      <c r="O44" s="4" t="s">
        <v>0</v>
      </c>
      <c r="P44" s="22" t="s">
        <v>13</v>
      </c>
      <c r="Q44" s="21" t="s">
        <v>13</v>
      </c>
    </row>
    <row r="45" spans="1:17" ht="13.5" thickBot="1">
      <c r="A45" s="79" t="s">
        <v>77</v>
      </c>
      <c r="B45">
        <v>1</v>
      </c>
      <c r="C45">
        <f>VLOOKUP(A45,$A$8:$E$14,2,FALSE)</f>
        <v>1</v>
      </c>
      <c r="D45" s="28">
        <f>VLOOKUP(A45,$A$8:$E$14,3,FALSE)</f>
        <v>0.3791</v>
      </c>
      <c r="E45" s="28">
        <f>VLOOKUP(A45,$A$8:$E$14,4,FALSE)</f>
        <v>0.62</v>
      </c>
      <c r="F45" s="14">
        <f>3412/D45</f>
        <v>9000.263782643102</v>
      </c>
      <c r="G45" s="14">
        <f>C45*8760*$B$4</f>
        <v>7008</v>
      </c>
      <c r="H45" s="14">
        <f>G45/(1-$B$19)-G45</f>
        <v>592.8676789587853</v>
      </c>
      <c r="I45" s="14">
        <f>H45+G45</f>
        <v>7600.867678958785</v>
      </c>
      <c r="J45" s="18">
        <f>(I45)*$B$18/1000</f>
        <v>2652.702819956616</v>
      </c>
      <c r="K45" s="14">
        <f>F45*G45*1000/10^6</f>
        <v>63073.848588762856</v>
      </c>
      <c r="L45" s="23">
        <f>'Standard Assumptions'!$B$12</f>
        <v>0.053172727272727274</v>
      </c>
      <c r="M45" s="19">
        <f>K45*L45</f>
        <v>3353.8085490515814</v>
      </c>
      <c r="N45" s="14">
        <f>IF(E45=0,0,(E45*K45-(G45*3412*1000/10^6)))</f>
        <v>15194.490125032975</v>
      </c>
      <c r="O45" s="15">
        <f>N45/(K45-(G45*3412*1000/10^6))</f>
        <v>0.38798518279916255</v>
      </c>
      <c r="P45" s="24">
        <f>(N45/0.8)*L45</f>
        <v>1009.9155993331576</v>
      </c>
      <c r="Q45" s="25">
        <f>(P45+J45)-M45</f>
        <v>308.80987023819216</v>
      </c>
    </row>
    <row r="46" spans="2:17" ht="12.75">
      <c r="B46">
        <v>2</v>
      </c>
      <c r="C46">
        <f>C45</f>
        <v>1</v>
      </c>
      <c r="D46" s="28">
        <f>D45*(1-$B$5)</f>
        <v>0.375309</v>
      </c>
      <c r="E46" s="28">
        <f>E45</f>
        <v>0.62</v>
      </c>
      <c r="F46" s="14">
        <f aca="true" t="shared" si="16" ref="F46:F54">3412/D46</f>
        <v>9091.175538023335</v>
      </c>
      <c r="G46" s="14">
        <f>K46/F46*1000</f>
        <v>6937.92</v>
      </c>
      <c r="H46" s="14">
        <f aca="true" t="shared" si="17" ref="H46:H54">G46/(1-$B$19)-G46</f>
        <v>586.939002169197</v>
      </c>
      <c r="I46" s="14">
        <f aca="true" t="shared" si="18" ref="I46:I54">H46+G46</f>
        <v>7524.859002169197</v>
      </c>
      <c r="J46" s="18">
        <f aca="true" t="shared" si="19" ref="J46:J54">(I46)*$B$18/1000</f>
        <v>2626.17579175705</v>
      </c>
      <c r="K46" s="14">
        <f>K45</f>
        <v>63073.848588762856</v>
      </c>
      <c r="L46" s="23">
        <f>L45</f>
        <v>0.053172727272727274</v>
      </c>
      <c r="M46" s="19">
        <f aca="true" t="shared" si="20" ref="M46:M54">K46*L46</f>
        <v>3353.8085490515814</v>
      </c>
      <c r="N46" s="14">
        <f aca="true" t="shared" si="21" ref="N46:N54">IF(E46=0,0,(E46*K46-(G46*3412*1000/10^6)))</f>
        <v>15433.603085032973</v>
      </c>
      <c r="O46" s="15">
        <f aca="true" t="shared" si="22" ref="O46:O54">N46/(K46-(G46*3412*1000/10^6))</f>
        <v>0.3916992561122219</v>
      </c>
      <c r="P46" s="24">
        <f aca="true" t="shared" si="23" ref="P46:P54">(N46/0.8)*L46</f>
        <v>1025.8084595949756</v>
      </c>
      <c r="Q46" s="25">
        <f aca="true" t="shared" si="24" ref="Q46:Q54">(P46+J46)-M46</f>
        <v>298.17570230044385</v>
      </c>
    </row>
    <row r="47" spans="2:17" ht="12.75">
      <c r="B47">
        <v>3</v>
      </c>
      <c r="C47">
        <f aca="true" t="shared" si="25" ref="C47:C54">C46</f>
        <v>1</v>
      </c>
      <c r="D47" s="28">
        <f aca="true" t="shared" si="26" ref="D47:D54">D46*(1-$B$5)</f>
        <v>0.37155591</v>
      </c>
      <c r="E47" s="28">
        <f aca="true" t="shared" si="27" ref="E47:E54">E46</f>
        <v>0.62</v>
      </c>
      <c r="F47" s="14">
        <f t="shared" si="16"/>
        <v>9183.005593962966</v>
      </c>
      <c r="G47" s="14">
        <f aca="true" t="shared" si="28" ref="G47:G54">K47/F47*1000</f>
        <v>6868.540799999999</v>
      </c>
      <c r="H47" s="14">
        <f t="shared" si="17"/>
        <v>581.0696121475048</v>
      </c>
      <c r="I47" s="14">
        <f t="shared" si="18"/>
        <v>7449.610412147504</v>
      </c>
      <c r="J47" s="18">
        <f t="shared" si="19"/>
        <v>2599.9140338394786</v>
      </c>
      <c r="K47" s="14">
        <f aca="true" t="shared" si="29" ref="K47:K54">K46</f>
        <v>63073.848588762856</v>
      </c>
      <c r="L47" s="23">
        <f aca="true" t="shared" si="30" ref="L47:L54">L46</f>
        <v>0.053172727272727274</v>
      </c>
      <c r="M47" s="19">
        <f t="shared" si="20"/>
        <v>3353.8085490515814</v>
      </c>
      <c r="N47" s="14">
        <f t="shared" si="21"/>
        <v>15670.324915432975</v>
      </c>
      <c r="O47" s="15">
        <f t="shared" si="22"/>
        <v>0.39533204934746075</v>
      </c>
      <c r="P47" s="24">
        <f t="shared" si="23"/>
        <v>1041.5423912541758</v>
      </c>
      <c r="Q47" s="25">
        <f t="shared" si="24"/>
        <v>287.6478760420732</v>
      </c>
    </row>
    <row r="48" spans="2:17" ht="12.75">
      <c r="B48">
        <v>4</v>
      </c>
      <c r="C48">
        <f t="shared" si="25"/>
        <v>1</v>
      </c>
      <c r="D48" s="28">
        <f t="shared" si="26"/>
        <v>0.3678403509</v>
      </c>
      <c r="E48" s="28">
        <f t="shared" si="27"/>
        <v>0.62</v>
      </c>
      <c r="F48" s="14">
        <f t="shared" si="16"/>
        <v>9275.763226225217</v>
      </c>
      <c r="G48" s="14">
        <f t="shared" si="28"/>
        <v>6799.8553919999995</v>
      </c>
      <c r="H48" s="14">
        <f t="shared" si="17"/>
        <v>575.2589160260304</v>
      </c>
      <c r="I48" s="14">
        <f t="shared" si="18"/>
        <v>7375.11430802603</v>
      </c>
      <c r="J48" s="18">
        <f t="shared" si="19"/>
        <v>2573.9148935010844</v>
      </c>
      <c r="K48" s="14">
        <f t="shared" si="29"/>
        <v>63073.848588762856</v>
      </c>
      <c r="L48" s="23">
        <f t="shared" si="30"/>
        <v>0.053172727272727274</v>
      </c>
      <c r="M48" s="19">
        <f t="shared" si="20"/>
        <v>3353.8085490515814</v>
      </c>
      <c r="N48" s="14">
        <f t="shared" si="21"/>
        <v>15904.679527528977</v>
      </c>
      <c r="O48" s="15">
        <f t="shared" si="22"/>
        <v>0.398886024217138</v>
      </c>
      <c r="P48" s="24">
        <f t="shared" si="23"/>
        <v>1057.118983596784</v>
      </c>
      <c r="Q48" s="25">
        <f t="shared" si="24"/>
        <v>277.2253280462869</v>
      </c>
    </row>
    <row r="49" spans="2:17" ht="12.75">
      <c r="B49">
        <v>5</v>
      </c>
      <c r="C49">
        <f t="shared" si="25"/>
        <v>1</v>
      </c>
      <c r="D49" s="28">
        <f t="shared" si="26"/>
        <v>0.364161947391</v>
      </c>
      <c r="E49" s="28">
        <f t="shared" si="27"/>
        <v>0.62</v>
      </c>
      <c r="F49" s="14">
        <f t="shared" si="16"/>
        <v>9369.457804267897</v>
      </c>
      <c r="G49" s="14">
        <f t="shared" si="28"/>
        <v>6731.856838079999</v>
      </c>
      <c r="H49" s="14">
        <f t="shared" si="17"/>
        <v>569.5063268657696</v>
      </c>
      <c r="I49" s="14">
        <f t="shared" si="18"/>
        <v>7301.363164945768</v>
      </c>
      <c r="J49" s="18">
        <f t="shared" si="19"/>
        <v>2548.1757445660733</v>
      </c>
      <c r="K49" s="14">
        <f t="shared" si="29"/>
        <v>63073.848588762856</v>
      </c>
      <c r="L49" s="23">
        <f t="shared" si="30"/>
        <v>0.053172727272727274</v>
      </c>
      <c r="M49" s="19">
        <f t="shared" si="20"/>
        <v>3353.8085490515814</v>
      </c>
      <c r="N49" s="14">
        <f t="shared" si="21"/>
        <v>16136.690593504016</v>
      </c>
      <c r="O49" s="15">
        <f t="shared" si="22"/>
        <v>0.40236354455231726</v>
      </c>
      <c r="P49" s="24">
        <f t="shared" si="23"/>
        <v>1072.5398100159657</v>
      </c>
      <c r="Q49" s="25">
        <f t="shared" si="24"/>
        <v>266.90700553045735</v>
      </c>
    </row>
    <row r="50" spans="2:17" ht="12.75">
      <c r="B50">
        <v>6</v>
      </c>
      <c r="C50">
        <f t="shared" si="25"/>
        <v>1</v>
      </c>
      <c r="D50" s="28">
        <f t="shared" si="26"/>
        <v>0.36052032791709</v>
      </c>
      <c r="E50" s="28">
        <f t="shared" si="27"/>
        <v>0.62</v>
      </c>
      <c r="F50" s="14">
        <f t="shared" si="16"/>
        <v>9464.098792189794</v>
      </c>
      <c r="G50" s="14">
        <f t="shared" si="28"/>
        <v>6664.538269699199</v>
      </c>
      <c r="H50" s="14">
        <f t="shared" si="17"/>
        <v>563.811263597112</v>
      </c>
      <c r="I50" s="14">
        <f t="shared" si="18"/>
        <v>7228.349533296311</v>
      </c>
      <c r="J50" s="18">
        <f t="shared" si="19"/>
        <v>2522.6939871204127</v>
      </c>
      <c r="K50" s="14">
        <f t="shared" si="29"/>
        <v>63073.848588762856</v>
      </c>
      <c r="L50" s="23">
        <f t="shared" si="30"/>
        <v>0.053172727272727274</v>
      </c>
      <c r="M50" s="19">
        <f t="shared" si="20"/>
        <v>3353.8085490515814</v>
      </c>
      <c r="N50" s="14">
        <f t="shared" si="21"/>
        <v>16366.381548819303</v>
      </c>
      <c r="O50" s="15">
        <f t="shared" si="22"/>
        <v>0.40576688112342046</v>
      </c>
      <c r="P50" s="24">
        <f t="shared" si="23"/>
        <v>1087.8064281709555</v>
      </c>
      <c r="Q50" s="25">
        <f t="shared" si="24"/>
        <v>256.6918662397866</v>
      </c>
    </row>
    <row r="51" spans="2:17" ht="12.75">
      <c r="B51">
        <v>7</v>
      </c>
      <c r="C51">
        <f t="shared" si="25"/>
        <v>1</v>
      </c>
      <c r="D51" s="28">
        <f t="shared" si="26"/>
        <v>0.3569151246379191</v>
      </c>
      <c r="E51" s="28">
        <f t="shared" si="27"/>
        <v>0.62</v>
      </c>
      <c r="F51" s="14">
        <f t="shared" si="16"/>
        <v>9559.695749686662</v>
      </c>
      <c r="G51" s="14">
        <f t="shared" si="28"/>
        <v>6597.892887002206</v>
      </c>
      <c r="H51" s="14">
        <f t="shared" si="17"/>
        <v>558.1731509611409</v>
      </c>
      <c r="I51" s="14">
        <f t="shared" si="18"/>
        <v>7156.066037963347</v>
      </c>
      <c r="J51" s="18">
        <f t="shared" si="19"/>
        <v>2497.467047249208</v>
      </c>
      <c r="K51" s="14">
        <f t="shared" si="29"/>
        <v>63073.848588762856</v>
      </c>
      <c r="L51" s="23">
        <f t="shared" si="30"/>
        <v>0.053172727272727274</v>
      </c>
      <c r="M51" s="19">
        <f t="shared" si="20"/>
        <v>3353.8085490515814</v>
      </c>
      <c r="N51" s="14">
        <f t="shared" si="21"/>
        <v>16593.775594581442</v>
      </c>
      <c r="O51" s="15">
        <f t="shared" si="22"/>
        <v>0.4090982161786254</v>
      </c>
      <c r="P51" s="24">
        <f t="shared" si="23"/>
        <v>1102.9203801443962</v>
      </c>
      <c r="Q51" s="25">
        <f t="shared" si="24"/>
        <v>246.57887834202302</v>
      </c>
    </row>
    <row r="52" spans="2:17" ht="12.75">
      <c r="B52">
        <v>8</v>
      </c>
      <c r="C52">
        <f t="shared" si="25"/>
        <v>1</v>
      </c>
      <c r="D52" s="28">
        <f t="shared" si="26"/>
        <v>0.3533459733915399</v>
      </c>
      <c r="E52" s="28">
        <f t="shared" si="27"/>
        <v>0.62</v>
      </c>
      <c r="F52" s="14">
        <f t="shared" si="16"/>
        <v>9656.258333016829</v>
      </c>
      <c r="G52" s="14">
        <f t="shared" si="28"/>
        <v>6531.913958132185</v>
      </c>
      <c r="H52" s="14">
        <f t="shared" si="17"/>
        <v>552.5914194515299</v>
      </c>
      <c r="I52" s="14">
        <f t="shared" si="18"/>
        <v>7084.505377583715</v>
      </c>
      <c r="J52" s="18">
        <f t="shared" si="19"/>
        <v>2472.492376776717</v>
      </c>
      <c r="K52" s="14">
        <f t="shared" si="29"/>
        <v>63073.848588762856</v>
      </c>
      <c r="L52" s="23">
        <f t="shared" si="30"/>
        <v>0.053172727272727274</v>
      </c>
      <c r="M52" s="19">
        <f t="shared" si="20"/>
        <v>3353.8085490515814</v>
      </c>
      <c r="N52" s="14">
        <f t="shared" si="21"/>
        <v>16818.895699885958</v>
      </c>
      <c r="O52" s="15">
        <f t="shared" si="22"/>
        <v>0.41235964771918976</v>
      </c>
      <c r="P52" s="24">
        <f t="shared" si="23"/>
        <v>1117.883192598102</v>
      </c>
      <c r="Q52" s="25">
        <f t="shared" si="24"/>
        <v>236.56702032323756</v>
      </c>
    </row>
    <row r="53" spans="2:17" ht="12.75">
      <c r="B53">
        <v>9</v>
      </c>
      <c r="C53">
        <f t="shared" si="25"/>
        <v>1</v>
      </c>
      <c r="D53" s="28">
        <f t="shared" si="26"/>
        <v>0.3498125136576245</v>
      </c>
      <c r="E53" s="28">
        <f t="shared" si="27"/>
        <v>0.62</v>
      </c>
      <c r="F53" s="14">
        <f t="shared" si="16"/>
        <v>9753.796295976596</v>
      </c>
      <c r="G53" s="14">
        <f t="shared" si="28"/>
        <v>6466.594818550863</v>
      </c>
      <c r="H53" s="14">
        <f t="shared" si="17"/>
        <v>547.0655052570146</v>
      </c>
      <c r="I53" s="14">
        <f t="shared" si="18"/>
        <v>7013.660323807878</v>
      </c>
      <c r="J53" s="18">
        <f t="shared" si="19"/>
        <v>2447.7674530089494</v>
      </c>
      <c r="K53" s="14">
        <f t="shared" si="29"/>
        <v>63073.848588762856</v>
      </c>
      <c r="L53" s="23">
        <f t="shared" si="30"/>
        <v>0.053172727272727274</v>
      </c>
      <c r="M53" s="19">
        <f t="shared" si="20"/>
        <v>3353.8085490515814</v>
      </c>
      <c r="N53" s="14">
        <f t="shared" si="21"/>
        <v>17041.76460413743</v>
      </c>
      <c r="O53" s="15">
        <f t="shared" si="22"/>
        <v>0.4155531935293204</v>
      </c>
      <c r="P53" s="24">
        <f t="shared" si="23"/>
        <v>1132.6963769272706</v>
      </c>
      <c r="Q53" s="25">
        <f t="shared" si="24"/>
        <v>226.65528088463861</v>
      </c>
    </row>
    <row r="54" spans="2:17" ht="12.75">
      <c r="B54">
        <v>10</v>
      </c>
      <c r="C54">
        <f t="shared" si="25"/>
        <v>1</v>
      </c>
      <c r="D54" s="28">
        <f t="shared" si="26"/>
        <v>0.34631438852104823</v>
      </c>
      <c r="E54" s="28">
        <f t="shared" si="27"/>
        <v>0.62</v>
      </c>
      <c r="F54" s="14">
        <f t="shared" si="16"/>
        <v>9852.319490885451</v>
      </c>
      <c r="G54" s="14">
        <f t="shared" si="28"/>
        <v>6401.928870365354</v>
      </c>
      <c r="H54" s="14">
        <f t="shared" si="17"/>
        <v>541.5948502044439</v>
      </c>
      <c r="I54" s="14">
        <f t="shared" si="18"/>
        <v>6943.523720569798</v>
      </c>
      <c r="J54" s="18">
        <f t="shared" si="19"/>
        <v>2423.2897784788593</v>
      </c>
      <c r="K54" s="14">
        <f t="shared" si="29"/>
        <v>63073.848588762856</v>
      </c>
      <c r="L54" s="23">
        <f t="shared" si="30"/>
        <v>0.053172727272727274</v>
      </c>
      <c r="M54" s="19">
        <f t="shared" si="20"/>
        <v>3353.8085490515814</v>
      </c>
      <c r="N54" s="14">
        <f t="shared" si="21"/>
        <v>17262.40481934639</v>
      </c>
      <c r="O54" s="15">
        <f t="shared" si="22"/>
        <v>0.41868079497687455</v>
      </c>
      <c r="P54" s="24">
        <f t="shared" si="23"/>
        <v>1147.361429413148</v>
      </c>
      <c r="Q54" s="25">
        <f t="shared" si="24"/>
        <v>216.84265884042588</v>
      </c>
    </row>
    <row r="56" spans="1:17" ht="12.75">
      <c r="A56" s="30" t="s">
        <v>73</v>
      </c>
      <c r="C56" s="36">
        <f>SUM(C45:C54)/10</f>
        <v>1</v>
      </c>
      <c r="D56" s="37">
        <f>SUM(D45:D54)/10</f>
        <v>0.36248755364162216</v>
      </c>
      <c r="E56" s="37">
        <f>E45</f>
        <v>0.62</v>
      </c>
      <c r="F56" s="38">
        <f>SUM(F45:F54)/10</f>
        <v>9420.583460687787</v>
      </c>
      <c r="G56" s="35">
        <f>SUM(G45:G54)</f>
        <v>67009.0418338298</v>
      </c>
      <c r="H56" s="35">
        <f>SUM(H45:H54)</f>
        <v>5668.877725638528</v>
      </c>
      <c r="I56" s="35">
        <f>SUM(I45:I54)</f>
        <v>72677.91955946833</v>
      </c>
      <c r="J56" s="35">
        <f>SUM(J45:J54)</f>
        <v>25364.59392625445</v>
      </c>
      <c r="K56" s="35">
        <f>SUM(K45:K54)</f>
        <v>630738.4858876285</v>
      </c>
      <c r="L56" s="39">
        <f>SUM(L45:L54)/10</f>
        <v>0.053172727272727274</v>
      </c>
      <c r="M56" s="35">
        <f>SUM(M45:M54)</f>
        <v>33538.08549051581</v>
      </c>
      <c r="N56" s="35">
        <f>SUM(N45:N54)</f>
        <v>162423.01051330243</v>
      </c>
      <c r="O56" s="37">
        <f>SUM(O45:O54)/10</f>
        <v>0.4037724790555731</v>
      </c>
      <c r="P56" s="35">
        <f>SUM(P45:P54)</f>
        <v>10795.59305104893</v>
      </c>
      <c r="Q56" s="63">
        <f>SUM(Q45:Q54)</f>
        <v>2622.101486787565</v>
      </c>
    </row>
    <row r="57" spans="1:17" ht="12.75">
      <c r="A57" s="30" t="s">
        <v>74</v>
      </c>
      <c r="C57" s="30">
        <v>1</v>
      </c>
      <c r="D57" s="37">
        <f>D56</f>
        <v>0.36248755364162216</v>
      </c>
      <c r="E57" s="37">
        <f>E45</f>
        <v>0.62</v>
      </c>
      <c r="F57" s="40">
        <f>F56</f>
        <v>9420.583460687787</v>
      </c>
      <c r="G57" s="35">
        <f>G56*($C57/$C56)</f>
        <v>67009.0418338298</v>
      </c>
      <c r="H57" s="35">
        <f>H56*($C57/$C56)</f>
        <v>5668.877725638528</v>
      </c>
      <c r="I57" s="35">
        <f>I56*($C57/$C56)</f>
        <v>72677.91955946833</v>
      </c>
      <c r="J57" s="35">
        <f>J56*($C57/$C56)</f>
        <v>25364.59392625445</v>
      </c>
      <c r="K57" s="35">
        <f>K56*($C57/$C56)</f>
        <v>630738.4858876285</v>
      </c>
      <c r="L57" s="41">
        <f>L56</f>
        <v>0.053172727272727274</v>
      </c>
      <c r="M57" s="35">
        <f>M56*($C57/$C56)</f>
        <v>33538.08549051581</v>
      </c>
      <c r="N57" s="35">
        <f>N56*($C57/$C56)</f>
        <v>162423.01051330243</v>
      </c>
      <c r="O57" s="37">
        <f>O56</f>
        <v>0.4037724790555731</v>
      </c>
      <c r="P57" s="35">
        <f>P56*($C57/$C56)</f>
        <v>10795.59305104893</v>
      </c>
      <c r="Q57" s="63">
        <f>Q56*($C57/$C56)</f>
        <v>2622.101486787565</v>
      </c>
    </row>
    <row r="62" ht="12.75">
      <c r="A62" s="86" t="str">
        <f>A65</f>
        <v>Gas Turbine</v>
      </c>
    </row>
    <row r="63" spans="1:17" ht="39">
      <c r="A63" s="71"/>
      <c r="B63" s="3"/>
      <c r="C63" s="4" t="s">
        <v>3</v>
      </c>
      <c r="D63" s="4" t="s">
        <v>106</v>
      </c>
      <c r="E63" s="4" t="s">
        <v>98</v>
      </c>
      <c r="F63" s="6" t="s">
        <v>21</v>
      </c>
      <c r="G63" s="6" t="s">
        <v>28</v>
      </c>
      <c r="H63" s="11" t="s">
        <v>14</v>
      </c>
      <c r="I63" s="11" t="s">
        <v>17</v>
      </c>
      <c r="J63" s="12" t="s">
        <v>27</v>
      </c>
      <c r="K63" s="5" t="s">
        <v>5</v>
      </c>
      <c r="L63" s="5" t="s">
        <v>19</v>
      </c>
      <c r="M63" s="16" t="s">
        <v>29</v>
      </c>
      <c r="N63" s="5" t="s">
        <v>35</v>
      </c>
      <c r="O63" s="5" t="s">
        <v>18</v>
      </c>
      <c r="P63" s="22" t="s">
        <v>30</v>
      </c>
      <c r="Q63" s="21" t="s">
        <v>31</v>
      </c>
    </row>
    <row r="64" spans="1:17" ht="26.25" thickBot="1">
      <c r="A64" s="78" t="s">
        <v>8</v>
      </c>
      <c r="B64" s="3" t="s">
        <v>32</v>
      </c>
      <c r="C64" s="4" t="s">
        <v>4</v>
      </c>
      <c r="D64" s="4" t="s">
        <v>2</v>
      </c>
      <c r="E64" s="4" t="s">
        <v>2</v>
      </c>
      <c r="F64" s="6" t="s">
        <v>11</v>
      </c>
      <c r="G64" s="6" t="s">
        <v>1</v>
      </c>
      <c r="H64" s="6" t="s">
        <v>1</v>
      </c>
      <c r="I64" s="6" t="s">
        <v>1</v>
      </c>
      <c r="J64" s="22" t="s">
        <v>13</v>
      </c>
      <c r="K64" s="4" t="s">
        <v>0</v>
      </c>
      <c r="L64" s="4" t="s">
        <v>20</v>
      </c>
      <c r="M64" s="17" t="s">
        <v>13</v>
      </c>
      <c r="N64" s="4" t="s">
        <v>0</v>
      </c>
      <c r="O64" s="4" t="s">
        <v>0</v>
      </c>
      <c r="P64" s="22" t="s">
        <v>13</v>
      </c>
      <c r="Q64" s="21" t="s">
        <v>13</v>
      </c>
    </row>
    <row r="65" spans="1:17" ht="13.5" thickBot="1">
      <c r="A65" s="79" t="s">
        <v>9</v>
      </c>
      <c r="B65">
        <v>1</v>
      </c>
      <c r="C65">
        <f>VLOOKUP(A65,$A$8:$E$14,2,FALSE)</f>
        <v>10</v>
      </c>
      <c r="D65" s="28">
        <f>VLOOKUP(A65,$A$8:$E$14,3,FALSE)</f>
        <v>0.29</v>
      </c>
      <c r="E65" s="28">
        <f>VLOOKUP(A65,$A$8:$E$14,4,FALSE)</f>
        <v>0.62</v>
      </c>
      <c r="F65" s="14">
        <f>3412/D65</f>
        <v>11765.517241379312</v>
      </c>
      <c r="G65" s="14">
        <f>C65*8760*$B$4</f>
        <v>70080</v>
      </c>
      <c r="H65" s="14">
        <f>G65/(1-$B$19)-G65</f>
        <v>5928.676789587844</v>
      </c>
      <c r="I65" s="14">
        <f>H65+G65</f>
        <v>76008.67678958784</v>
      </c>
      <c r="J65" s="18">
        <f>(I65)*$B$18/1000</f>
        <v>26527.028199566157</v>
      </c>
      <c r="K65" s="14">
        <f>F65*G65*1000/10^6</f>
        <v>824527.448275862</v>
      </c>
      <c r="L65" s="23">
        <f>'Standard Assumptions'!$B$12</f>
        <v>0.053172727272727274</v>
      </c>
      <c r="M65" s="19">
        <f>K65*L65</f>
        <v>43842.373136050155</v>
      </c>
      <c r="N65" s="14">
        <f>IF(E65=0,0,(E65*K65-(G65*3412*1000/10^6)))</f>
        <v>272094.0579310345</v>
      </c>
      <c r="O65" s="15">
        <f>N65/(K65-(G65*3412*1000/10^6))</f>
        <v>0.4647887323943662</v>
      </c>
      <c r="P65" s="24">
        <f>(N65/0.8)*L65</f>
        <v>18084.978918620687</v>
      </c>
      <c r="Q65" s="25">
        <f>(P65+J65)-M65</f>
        <v>769.6339821366855</v>
      </c>
    </row>
    <row r="66" spans="2:17" ht="12.75">
      <c r="B66">
        <v>2</v>
      </c>
      <c r="C66">
        <f>C65</f>
        <v>10</v>
      </c>
      <c r="D66" s="28">
        <f>D65*(1-$B$5)</f>
        <v>0.28709999999999997</v>
      </c>
      <c r="E66" s="28">
        <f>E65</f>
        <v>0.62</v>
      </c>
      <c r="F66" s="14">
        <f aca="true" t="shared" si="31" ref="F66:F74">3412/D66</f>
        <v>11884.360849878092</v>
      </c>
      <c r="G66" s="14">
        <f>K66/F66*1000</f>
        <v>69379.2</v>
      </c>
      <c r="H66" s="14">
        <f aca="true" t="shared" si="32" ref="H66:H74">G66/(1-$B$19)-G66</f>
        <v>5869.390021691972</v>
      </c>
      <c r="I66" s="14">
        <f aca="true" t="shared" si="33" ref="I66:I74">H66+G66</f>
        <v>75248.59002169197</v>
      </c>
      <c r="J66" s="18">
        <f aca="true" t="shared" si="34" ref="J66:J74">(I66)*$B$18/1000</f>
        <v>26261.7579175705</v>
      </c>
      <c r="K66" s="14">
        <f>K65</f>
        <v>824527.448275862</v>
      </c>
      <c r="L66" s="23">
        <f>L65</f>
        <v>0.053172727272727274</v>
      </c>
      <c r="M66" s="19">
        <f aca="true" t="shared" si="35" ref="M66:M74">K66*L66</f>
        <v>43842.373136050155</v>
      </c>
      <c r="N66" s="14">
        <f aca="true" t="shared" si="36" ref="N66:N74">IF(E66=0,0,(E66*K66-(G66*3412*1000/10^6)))</f>
        <v>274485.18753103446</v>
      </c>
      <c r="O66" s="15">
        <f aca="true" t="shared" si="37" ref="O66:O74">N66/(K66-(G66*3412*1000/10^6))</f>
        <v>0.4669659138729134</v>
      </c>
      <c r="P66" s="24">
        <f aca="true" t="shared" si="38" ref="P66:P74">(N66/0.8)*L66</f>
        <v>18243.90752123887</v>
      </c>
      <c r="Q66" s="25">
        <f aca="true" t="shared" si="39" ref="Q66:Q74">(P66+J66)-M66</f>
        <v>663.2923027592187</v>
      </c>
    </row>
    <row r="67" spans="2:17" ht="12.75">
      <c r="B67">
        <v>3</v>
      </c>
      <c r="C67">
        <f aca="true" t="shared" si="40" ref="C67:C74">C66</f>
        <v>10</v>
      </c>
      <c r="D67" s="28">
        <f aca="true" t="shared" si="41" ref="D67:D74">D66*(1-$B$5)</f>
        <v>0.28422899999999995</v>
      </c>
      <c r="E67" s="28">
        <f aca="true" t="shared" si="42" ref="E67:E74">E66</f>
        <v>0.62</v>
      </c>
      <c r="F67" s="14">
        <f t="shared" si="31"/>
        <v>12004.40489886676</v>
      </c>
      <c r="G67" s="14">
        <f aca="true" t="shared" si="43" ref="G67:G74">K67/F67*1000</f>
        <v>68685.408</v>
      </c>
      <c r="H67" s="14">
        <f t="shared" si="32"/>
        <v>5810.696121475048</v>
      </c>
      <c r="I67" s="14">
        <f t="shared" si="33"/>
        <v>74496.10412147504</v>
      </c>
      <c r="J67" s="18">
        <f t="shared" si="34"/>
        <v>25999.14033839479</v>
      </c>
      <c r="K67" s="14">
        <f aca="true" t="shared" si="44" ref="K67:K74">K66</f>
        <v>824527.448275862</v>
      </c>
      <c r="L67" s="23">
        <f aca="true" t="shared" si="45" ref="L67:L74">L66</f>
        <v>0.053172727272727274</v>
      </c>
      <c r="M67" s="19">
        <f t="shared" si="35"/>
        <v>43842.373136050155</v>
      </c>
      <c r="N67" s="14">
        <f t="shared" si="36"/>
        <v>276852.40583503444</v>
      </c>
      <c r="O67" s="15">
        <f t="shared" si="37"/>
        <v>0.46910394525623417</v>
      </c>
      <c r="P67" s="24">
        <f t="shared" si="38"/>
        <v>18401.24683783087</v>
      </c>
      <c r="Q67" s="25">
        <f t="shared" si="39"/>
        <v>558.0140401755052</v>
      </c>
    </row>
    <row r="68" spans="2:17" ht="12.75">
      <c r="B68">
        <v>4</v>
      </c>
      <c r="C68">
        <f t="shared" si="40"/>
        <v>10</v>
      </c>
      <c r="D68" s="28">
        <f t="shared" si="41"/>
        <v>0.28138670999999993</v>
      </c>
      <c r="E68" s="28">
        <f t="shared" si="42"/>
        <v>0.62</v>
      </c>
      <c r="F68" s="14">
        <f t="shared" si="31"/>
        <v>12125.66151400683</v>
      </c>
      <c r="G68" s="14">
        <f t="shared" si="43"/>
        <v>67998.55391999998</v>
      </c>
      <c r="H68" s="14">
        <f t="shared" si="32"/>
        <v>5752.589160260293</v>
      </c>
      <c r="I68" s="14">
        <f t="shared" si="33"/>
        <v>73751.14308026027</v>
      </c>
      <c r="J68" s="18">
        <f t="shared" si="34"/>
        <v>25739.148935010835</v>
      </c>
      <c r="K68" s="14">
        <f t="shared" si="44"/>
        <v>824527.448275862</v>
      </c>
      <c r="L68" s="23">
        <f t="shared" si="45"/>
        <v>0.053172727272727274</v>
      </c>
      <c r="M68" s="19">
        <f t="shared" si="35"/>
        <v>43842.373136050155</v>
      </c>
      <c r="N68" s="14">
        <f t="shared" si="36"/>
        <v>279195.95195599453</v>
      </c>
      <c r="O68" s="15">
        <f t="shared" si="37"/>
        <v>0.4712037680238283</v>
      </c>
      <c r="P68" s="24">
        <f t="shared" si="38"/>
        <v>18557.012761256952</v>
      </c>
      <c r="Q68" s="25">
        <f t="shared" si="39"/>
        <v>453.78856021763204</v>
      </c>
    </row>
    <row r="69" spans="2:17" ht="12.75">
      <c r="B69">
        <v>5</v>
      </c>
      <c r="C69">
        <f t="shared" si="40"/>
        <v>10</v>
      </c>
      <c r="D69" s="28">
        <f t="shared" si="41"/>
        <v>0.27857284289999995</v>
      </c>
      <c r="E69" s="28">
        <f t="shared" si="42"/>
        <v>0.62</v>
      </c>
      <c r="F69" s="14">
        <f t="shared" si="31"/>
        <v>12248.142943441242</v>
      </c>
      <c r="G69" s="14">
        <f t="shared" si="43"/>
        <v>67318.56838079999</v>
      </c>
      <c r="H69" s="14">
        <f t="shared" si="32"/>
        <v>5695.063268657701</v>
      </c>
      <c r="I69" s="14">
        <f t="shared" si="33"/>
        <v>73013.63164945769</v>
      </c>
      <c r="J69" s="18">
        <f t="shared" si="34"/>
        <v>25481.757445660733</v>
      </c>
      <c r="K69" s="14">
        <f t="shared" si="44"/>
        <v>824527.448275862</v>
      </c>
      <c r="L69" s="23">
        <f t="shared" si="45"/>
        <v>0.053172727272727274</v>
      </c>
      <c r="M69" s="19">
        <f t="shared" si="35"/>
        <v>43842.373136050155</v>
      </c>
      <c r="N69" s="14">
        <f t="shared" si="36"/>
        <v>281516.0626157449</v>
      </c>
      <c r="O69" s="15">
        <f t="shared" si="37"/>
        <v>0.47326629409471116</v>
      </c>
      <c r="P69" s="24">
        <f t="shared" si="38"/>
        <v>18711.22102544877</v>
      </c>
      <c r="Q69" s="25">
        <f t="shared" si="39"/>
        <v>350.6053350593429</v>
      </c>
    </row>
    <row r="70" spans="2:17" ht="12.75">
      <c r="B70">
        <v>6</v>
      </c>
      <c r="C70">
        <f t="shared" si="40"/>
        <v>10</v>
      </c>
      <c r="D70" s="28">
        <f t="shared" si="41"/>
        <v>0.27578711447099996</v>
      </c>
      <c r="E70" s="28">
        <f t="shared" si="42"/>
        <v>0.62</v>
      </c>
      <c r="F70" s="14">
        <f t="shared" si="31"/>
        <v>12371.861559031557</v>
      </c>
      <c r="G70" s="14">
        <f t="shared" si="43"/>
        <v>66645.38269699199</v>
      </c>
      <c r="H70" s="14">
        <f t="shared" si="32"/>
        <v>5638.11263597112</v>
      </c>
      <c r="I70" s="14">
        <f t="shared" si="33"/>
        <v>72283.49533296311</v>
      </c>
      <c r="J70" s="18">
        <f t="shared" si="34"/>
        <v>25226.939871204126</v>
      </c>
      <c r="K70" s="14">
        <f t="shared" si="44"/>
        <v>824527.448275862</v>
      </c>
      <c r="L70" s="23">
        <f t="shared" si="45"/>
        <v>0.053172727272727274</v>
      </c>
      <c r="M70" s="19">
        <f t="shared" si="35"/>
        <v>43842.373136050155</v>
      </c>
      <c r="N70" s="14">
        <f t="shared" si="36"/>
        <v>283812.97216889774</v>
      </c>
      <c r="O70" s="15">
        <f t="shared" si="37"/>
        <v>0.4752924069799867</v>
      </c>
      <c r="P70" s="24">
        <f t="shared" si="38"/>
        <v>18863.88720699867</v>
      </c>
      <c r="Q70" s="25">
        <f t="shared" si="39"/>
        <v>248.4539421526424</v>
      </c>
    </row>
    <row r="71" spans="2:17" ht="12.75">
      <c r="B71">
        <v>7</v>
      </c>
      <c r="C71">
        <f t="shared" si="40"/>
        <v>10</v>
      </c>
      <c r="D71" s="28">
        <f t="shared" si="41"/>
        <v>0.27302924332628997</v>
      </c>
      <c r="E71" s="28">
        <f t="shared" si="42"/>
        <v>0.62</v>
      </c>
      <c r="F71" s="14">
        <f t="shared" si="31"/>
        <v>12496.829857607632</v>
      </c>
      <c r="G71" s="14">
        <f t="shared" si="43"/>
        <v>65978.92887002208</v>
      </c>
      <c r="H71" s="14">
        <f t="shared" si="32"/>
        <v>5581.731509611403</v>
      </c>
      <c r="I71" s="14">
        <f t="shared" si="33"/>
        <v>71560.66037963348</v>
      </c>
      <c r="J71" s="18">
        <f t="shared" si="34"/>
        <v>24974.670472492086</v>
      </c>
      <c r="K71" s="14">
        <f t="shared" si="44"/>
        <v>824527.448275862</v>
      </c>
      <c r="L71" s="23">
        <f t="shared" si="45"/>
        <v>0.053172727272727274</v>
      </c>
      <c r="M71" s="19">
        <f t="shared" si="35"/>
        <v>43842.373136050155</v>
      </c>
      <c r="N71" s="14">
        <f t="shared" si="36"/>
        <v>286086.9126265191</v>
      </c>
      <c r="O71" s="15">
        <f t="shared" si="37"/>
        <v>0.4772829628818792</v>
      </c>
      <c r="P71" s="24">
        <f t="shared" si="38"/>
        <v>19015.02672673307</v>
      </c>
      <c r="Q71" s="25">
        <f t="shared" si="39"/>
        <v>147.32406317500136</v>
      </c>
    </row>
    <row r="72" spans="2:17" ht="12.75">
      <c r="B72">
        <v>8</v>
      </c>
      <c r="C72">
        <f t="shared" si="40"/>
        <v>10</v>
      </c>
      <c r="D72" s="28">
        <f t="shared" si="41"/>
        <v>0.2702989508930271</v>
      </c>
      <c r="E72" s="28">
        <f t="shared" si="42"/>
        <v>0.62</v>
      </c>
      <c r="F72" s="14">
        <f t="shared" si="31"/>
        <v>12623.060462229932</v>
      </c>
      <c r="G72" s="14">
        <f t="shared" si="43"/>
        <v>65319.13958132185</v>
      </c>
      <c r="H72" s="14">
        <f t="shared" si="32"/>
        <v>5525.914194515288</v>
      </c>
      <c r="I72" s="14">
        <f t="shared" si="33"/>
        <v>70845.05377583714</v>
      </c>
      <c r="J72" s="18">
        <f t="shared" si="34"/>
        <v>24724.923767767163</v>
      </c>
      <c r="K72" s="14">
        <f t="shared" si="44"/>
        <v>824527.448275862</v>
      </c>
      <c r="L72" s="23">
        <f t="shared" si="45"/>
        <v>0.053172727272727274</v>
      </c>
      <c r="M72" s="19">
        <f t="shared" si="35"/>
        <v>43842.373136050155</v>
      </c>
      <c r="N72" s="14">
        <f t="shared" si="36"/>
        <v>288338.1136795643</v>
      </c>
      <c r="O72" s="15">
        <f t="shared" si="37"/>
        <v>0.4792387917421061</v>
      </c>
      <c r="P72" s="24">
        <f t="shared" si="38"/>
        <v>19164.654851270134</v>
      </c>
      <c r="Q72" s="25">
        <f t="shared" si="39"/>
        <v>47.205482987141295</v>
      </c>
    </row>
    <row r="73" spans="2:17" ht="12.75">
      <c r="B73">
        <v>9</v>
      </c>
      <c r="C73">
        <f t="shared" si="40"/>
        <v>10</v>
      </c>
      <c r="D73" s="28">
        <f t="shared" si="41"/>
        <v>0.2675959613840968</v>
      </c>
      <c r="E73" s="28">
        <f t="shared" si="42"/>
        <v>0.62</v>
      </c>
      <c r="F73" s="14">
        <f t="shared" si="31"/>
        <v>12750.566123464578</v>
      </c>
      <c r="G73" s="14">
        <f t="shared" si="43"/>
        <v>64665.94818550863</v>
      </c>
      <c r="H73" s="14">
        <f t="shared" si="32"/>
        <v>5470.655052570139</v>
      </c>
      <c r="I73" s="14">
        <f t="shared" si="33"/>
        <v>70136.60323807877</v>
      </c>
      <c r="J73" s="18">
        <f t="shared" si="34"/>
        <v>24477.67453008949</v>
      </c>
      <c r="K73" s="14">
        <f t="shared" si="44"/>
        <v>824527.448275862</v>
      </c>
      <c r="L73" s="23">
        <f t="shared" si="45"/>
        <v>0.053172727272727274</v>
      </c>
      <c r="M73" s="19">
        <f t="shared" si="35"/>
        <v>43842.373136050155</v>
      </c>
      <c r="N73" s="14">
        <f t="shared" si="36"/>
        <v>290566.802722079</v>
      </c>
      <c r="O73" s="15">
        <f t="shared" si="37"/>
        <v>0.4811606982422928</v>
      </c>
      <c r="P73" s="24">
        <f t="shared" si="38"/>
        <v>19312.78669456182</v>
      </c>
      <c r="Q73" s="25">
        <f t="shared" si="39"/>
        <v>-51.91191139884177</v>
      </c>
    </row>
    <row r="74" spans="2:17" ht="12.75">
      <c r="B74">
        <v>10</v>
      </c>
      <c r="C74">
        <f t="shared" si="40"/>
        <v>10</v>
      </c>
      <c r="D74" s="28">
        <f t="shared" si="41"/>
        <v>0.2649200017702558</v>
      </c>
      <c r="E74" s="28">
        <f t="shared" si="42"/>
        <v>0.62</v>
      </c>
      <c r="F74" s="14">
        <f t="shared" si="31"/>
        <v>12879.359720671291</v>
      </c>
      <c r="G74" s="14">
        <f t="shared" si="43"/>
        <v>64019.28870365355</v>
      </c>
      <c r="H74" s="14">
        <f t="shared" si="32"/>
        <v>5415.948502044434</v>
      </c>
      <c r="I74" s="14">
        <f t="shared" si="33"/>
        <v>69435.23720569798</v>
      </c>
      <c r="J74" s="18">
        <f t="shared" si="34"/>
        <v>24232.897784788594</v>
      </c>
      <c r="K74" s="14">
        <f t="shared" si="44"/>
        <v>824527.448275862</v>
      </c>
      <c r="L74" s="23">
        <f t="shared" si="45"/>
        <v>0.053172727272727274</v>
      </c>
      <c r="M74" s="19">
        <f t="shared" si="35"/>
        <v>43842.373136050155</v>
      </c>
      <c r="N74" s="14">
        <f t="shared" si="36"/>
        <v>292773.2048741685</v>
      </c>
      <c r="O74" s="15">
        <f t="shared" si="37"/>
        <v>0.48304946275897215</v>
      </c>
      <c r="P74" s="24">
        <f t="shared" si="38"/>
        <v>19459.437219420586</v>
      </c>
      <c r="Q74" s="25">
        <f t="shared" si="39"/>
        <v>-150.03813184097817</v>
      </c>
    </row>
    <row r="76" spans="1:17" ht="12.75">
      <c r="A76" s="30" t="s">
        <v>73</v>
      </c>
      <c r="C76" s="36">
        <f>SUM(C65:C74)/10</f>
        <v>10</v>
      </c>
      <c r="D76" s="37">
        <f>SUM(D65:D74)/10</f>
        <v>0.27729198247446696</v>
      </c>
      <c r="E76" s="37">
        <f>E65</f>
        <v>0.62</v>
      </c>
      <c r="F76" s="38">
        <f>SUM(F65:F74)/10</f>
        <v>12314.976517057723</v>
      </c>
      <c r="G76" s="35">
        <f>SUM(G65:G74)</f>
        <v>670090.418338298</v>
      </c>
      <c r="H76" s="35">
        <f>SUM(H65:H74)</f>
        <v>56688.77725638524</v>
      </c>
      <c r="I76" s="35">
        <f>SUM(I65:I74)</f>
        <v>726779.1955946833</v>
      </c>
      <c r="J76" s="35">
        <f>SUM(J65:J74)</f>
        <v>253645.93926254447</v>
      </c>
      <c r="K76" s="35">
        <f>SUM(K65:K74)</f>
        <v>8245274.482758622</v>
      </c>
      <c r="L76" s="39">
        <f>SUM(L65:L74)/10</f>
        <v>0.053172727272727274</v>
      </c>
      <c r="M76" s="35">
        <f>SUM(M65:M74)</f>
        <v>438423.7313605016</v>
      </c>
      <c r="N76" s="35">
        <f>SUM(N65:N74)</f>
        <v>2825721.671940072</v>
      </c>
      <c r="O76" s="37">
        <f>SUM(O65:O74)/10</f>
        <v>0.474135297624729</v>
      </c>
      <c r="P76" s="35">
        <f>SUM(P65:P74)</f>
        <v>187814.15976338045</v>
      </c>
      <c r="Q76" s="63">
        <f>SUM(Q65:Q74)</f>
        <v>3036.3676654233495</v>
      </c>
    </row>
    <row r="77" spans="1:17" ht="12.75">
      <c r="A77" s="30" t="s">
        <v>74</v>
      </c>
      <c r="C77" s="30">
        <v>1</v>
      </c>
      <c r="D77" s="37">
        <f>D76</f>
        <v>0.27729198247446696</v>
      </c>
      <c r="E77" s="37">
        <f>E65</f>
        <v>0.62</v>
      </c>
      <c r="F77" s="40">
        <f>F76</f>
        <v>12314.976517057723</v>
      </c>
      <c r="G77" s="35">
        <f>G76*($C77/$C76)</f>
        <v>67009.0418338298</v>
      </c>
      <c r="H77" s="35">
        <f>H76*($C77/$C76)</f>
        <v>5668.877725638525</v>
      </c>
      <c r="I77" s="35">
        <f>I76*($C77/$C76)</f>
        <v>72677.91955946833</v>
      </c>
      <c r="J77" s="35">
        <f>J76*($C77/$C76)</f>
        <v>25364.59392625445</v>
      </c>
      <c r="K77" s="35">
        <f>K76*($C77/$C76)</f>
        <v>824527.4482758623</v>
      </c>
      <c r="L77" s="41">
        <f>L76</f>
        <v>0.053172727272727274</v>
      </c>
      <c r="M77" s="35">
        <f>M76*($C77/$C76)</f>
        <v>43842.37313605016</v>
      </c>
      <c r="N77" s="35">
        <f>N76*($C77/$C76)</f>
        <v>282572.1671940072</v>
      </c>
      <c r="O77" s="37">
        <f>O76</f>
        <v>0.474135297624729</v>
      </c>
      <c r="P77" s="35">
        <f>P76*($C77/$C76)</f>
        <v>18781.415976338045</v>
      </c>
      <c r="Q77" s="63">
        <f>Q76*($C77/$C76)</f>
        <v>303.63676654233495</v>
      </c>
    </row>
    <row r="82" ht="12.75">
      <c r="A82" s="86" t="str">
        <f>A85</f>
        <v>Rich Burn Engine</v>
      </c>
    </row>
    <row r="83" spans="1:17" ht="39">
      <c r="A83" s="71"/>
      <c r="B83" s="3"/>
      <c r="C83" s="4" t="s">
        <v>3</v>
      </c>
      <c r="D83" s="4" t="s">
        <v>16</v>
      </c>
      <c r="E83" s="4" t="s">
        <v>98</v>
      </c>
      <c r="F83" s="6" t="s">
        <v>21</v>
      </c>
      <c r="G83" s="6" t="s">
        <v>28</v>
      </c>
      <c r="H83" s="11" t="s">
        <v>14</v>
      </c>
      <c r="I83" s="11" t="s">
        <v>17</v>
      </c>
      <c r="J83" s="12" t="s">
        <v>27</v>
      </c>
      <c r="K83" s="5" t="s">
        <v>5</v>
      </c>
      <c r="L83" s="5" t="s">
        <v>19</v>
      </c>
      <c r="M83" s="16" t="s">
        <v>29</v>
      </c>
      <c r="N83" s="5" t="s">
        <v>35</v>
      </c>
      <c r="O83" s="5" t="s">
        <v>18</v>
      </c>
      <c r="P83" s="22" t="s">
        <v>30</v>
      </c>
      <c r="Q83" s="21" t="s">
        <v>31</v>
      </c>
    </row>
    <row r="84" spans="1:17" ht="26.25" thickBot="1">
      <c r="A84" s="78" t="s">
        <v>8</v>
      </c>
      <c r="B84" s="3" t="s">
        <v>32</v>
      </c>
      <c r="C84" s="4" t="s">
        <v>4</v>
      </c>
      <c r="D84" s="4" t="s">
        <v>2</v>
      </c>
      <c r="E84" s="4" t="s">
        <v>2</v>
      </c>
      <c r="F84" s="6" t="s">
        <v>11</v>
      </c>
      <c r="G84" s="6" t="s">
        <v>1</v>
      </c>
      <c r="H84" s="6" t="s">
        <v>1</v>
      </c>
      <c r="I84" s="6" t="s">
        <v>1</v>
      </c>
      <c r="J84" s="22" t="s">
        <v>13</v>
      </c>
      <c r="K84" s="4" t="s">
        <v>0</v>
      </c>
      <c r="L84" s="4" t="s">
        <v>20</v>
      </c>
      <c r="M84" s="17" t="s">
        <v>13</v>
      </c>
      <c r="N84" s="4" t="s">
        <v>0</v>
      </c>
      <c r="O84" s="4" t="s">
        <v>0</v>
      </c>
      <c r="P84" s="22" t="s">
        <v>13</v>
      </c>
      <c r="Q84" s="21" t="s">
        <v>13</v>
      </c>
    </row>
    <row r="85" spans="1:17" ht="13.5" thickBot="1">
      <c r="A85" s="79" t="s">
        <v>33</v>
      </c>
      <c r="B85">
        <v>1</v>
      </c>
      <c r="C85">
        <f>VLOOKUP(A85,$A$8:$E$14,2,FALSE)</f>
        <v>0.1</v>
      </c>
      <c r="D85" s="28">
        <f>VLOOKUP(A85,$A$8:$E$14,3,FALSE)</f>
        <v>0.271</v>
      </c>
      <c r="E85" s="28">
        <f>VLOOKUP(A85,$A$8:$E$14,4,FALSE)</f>
        <v>0.62</v>
      </c>
      <c r="F85" s="14">
        <f>3412/D85</f>
        <v>12590.40590405904</v>
      </c>
      <c r="G85" s="14">
        <f>C85*8760*$B$4</f>
        <v>700.8000000000001</v>
      </c>
      <c r="H85" s="14">
        <f>G85/(1-$B$19)-G85</f>
        <v>59.286767895878484</v>
      </c>
      <c r="I85" s="14">
        <f>H85+G85</f>
        <v>760.0867678958786</v>
      </c>
      <c r="J85" s="18">
        <f>(I85)*$B$18/1000</f>
        <v>265.2702819956616</v>
      </c>
      <c r="K85" s="14">
        <f>F85*G85*1000/10^6</f>
        <v>8823.356457564576</v>
      </c>
      <c r="L85" s="23">
        <f>'Standard Assumptions'!$B$12</f>
        <v>0.053172727272727274</v>
      </c>
      <c r="M85" s="19">
        <f>K85*L85</f>
        <v>469.16192654813824</v>
      </c>
      <c r="N85" s="14">
        <f>IF(E85=0,0,(E85*K85-(G85*3412*1000/10^6)))</f>
        <v>3079.351403690037</v>
      </c>
      <c r="O85" s="15">
        <f>N85/(K85-(G85*3412*1000/10^6))</f>
        <v>0.4787379972565158</v>
      </c>
      <c r="P85" s="24">
        <f>(N85/0.8)*L85</f>
        <v>204.67189045662528</v>
      </c>
      <c r="Q85" s="25">
        <f>(P85+J85)-M85</f>
        <v>0.7802459041486145</v>
      </c>
    </row>
    <row r="86" spans="2:17" ht="12.75">
      <c r="B86">
        <v>2</v>
      </c>
      <c r="C86">
        <f>C85</f>
        <v>0.1</v>
      </c>
      <c r="D86" s="28">
        <f>D85*(1-$B$5)</f>
        <v>0.26829000000000003</v>
      </c>
      <c r="E86" s="28">
        <f>E85</f>
        <v>0.62</v>
      </c>
      <c r="F86" s="14">
        <f aca="true" t="shared" si="46" ref="F86:F94">3412/D86</f>
        <v>12717.581721271757</v>
      </c>
      <c r="G86" s="14">
        <f>K86/F86*1000</f>
        <v>693.792</v>
      </c>
      <c r="H86" s="14">
        <f aca="true" t="shared" si="47" ref="H86:H94">G86/(1-$B$19)-G86</f>
        <v>58.6939002169197</v>
      </c>
      <c r="I86" s="14">
        <f aca="true" t="shared" si="48" ref="I86:I94">H86+G86</f>
        <v>752.4859002169197</v>
      </c>
      <c r="J86" s="18">
        <f aca="true" t="shared" si="49" ref="J86:J94">(I86)*$B$18/1000</f>
        <v>262.617579175705</v>
      </c>
      <c r="K86" s="14">
        <f>K85</f>
        <v>8823.356457564576</v>
      </c>
      <c r="L86" s="23">
        <f>L85</f>
        <v>0.053172727272727274</v>
      </c>
      <c r="M86" s="19">
        <f aca="true" t="shared" si="50" ref="M86:M94">K86*L86</f>
        <v>469.16192654813824</v>
      </c>
      <c r="N86" s="14">
        <f aca="true" t="shared" si="51" ref="N86:N94">IF(E86=0,0,(E86*K86-(G86*3412*1000/10^6)))</f>
        <v>3103.262699690037</v>
      </c>
      <c r="O86" s="15">
        <f aca="true" t="shared" si="52" ref="O86:O94">N86/(K86-(G86*3412*1000/10^6))</f>
        <v>0.4806685708819068</v>
      </c>
      <c r="P86" s="24">
        <f aca="true" t="shared" si="53" ref="P86:P94">(N86/0.8)*L86</f>
        <v>206.26117648280712</v>
      </c>
      <c r="Q86" s="25">
        <f aca="true" t="shared" si="54" ref="Q86:Q94">(P86+J86)-M86</f>
        <v>-0.2831708896261489</v>
      </c>
    </row>
    <row r="87" spans="2:17" ht="12.75">
      <c r="B87">
        <v>3</v>
      </c>
      <c r="C87">
        <f aca="true" t="shared" si="55" ref="C87:C94">C86</f>
        <v>0.1</v>
      </c>
      <c r="D87" s="28">
        <f aca="true" t="shared" si="56" ref="D87:D94">D86*(1-$B$5)</f>
        <v>0.26560710000000004</v>
      </c>
      <c r="E87" s="28">
        <f aca="true" t="shared" si="57" ref="E87:E94">E86</f>
        <v>0.62</v>
      </c>
      <c r="F87" s="14">
        <f t="shared" si="46"/>
        <v>12846.042142698743</v>
      </c>
      <c r="G87" s="14">
        <f aca="true" t="shared" si="58" ref="G87:G94">K87/F87*1000</f>
        <v>686.8540800000002</v>
      </c>
      <c r="H87" s="14">
        <f t="shared" si="47"/>
        <v>58.10696121475053</v>
      </c>
      <c r="I87" s="14">
        <f t="shared" si="48"/>
        <v>744.9610412147507</v>
      </c>
      <c r="J87" s="18">
        <f t="shared" si="49"/>
        <v>259.991403383948</v>
      </c>
      <c r="K87" s="14">
        <f aca="true" t="shared" si="59" ref="K87:K94">K86</f>
        <v>8823.356457564576</v>
      </c>
      <c r="L87" s="23">
        <f aca="true" t="shared" si="60" ref="L87:L94">L86</f>
        <v>0.053172727272727274</v>
      </c>
      <c r="M87" s="19">
        <f t="shared" si="50"/>
        <v>469.16192654813824</v>
      </c>
      <c r="N87" s="14">
        <f t="shared" si="51"/>
        <v>3126.9348827300364</v>
      </c>
      <c r="O87" s="15">
        <f t="shared" si="52"/>
        <v>0.48256580367266616</v>
      </c>
      <c r="P87" s="24">
        <f t="shared" si="53"/>
        <v>207.8345696487271</v>
      </c>
      <c r="Q87" s="25">
        <f t="shared" si="54"/>
        <v>-1.3359535154631317</v>
      </c>
    </row>
    <row r="88" spans="2:17" ht="12.75">
      <c r="B88">
        <v>4</v>
      </c>
      <c r="C88">
        <f t="shared" si="55"/>
        <v>0.1</v>
      </c>
      <c r="D88" s="28">
        <f t="shared" si="56"/>
        <v>0.26295102900000006</v>
      </c>
      <c r="E88" s="28">
        <f t="shared" si="57"/>
        <v>0.62</v>
      </c>
      <c r="F88" s="14">
        <f t="shared" si="46"/>
        <v>12975.800144140145</v>
      </c>
      <c r="G88" s="14">
        <f t="shared" si="58"/>
        <v>679.9855392000002</v>
      </c>
      <c r="H88" s="14">
        <f t="shared" si="47"/>
        <v>57.525891602603</v>
      </c>
      <c r="I88" s="14">
        <f t="shared" si="48"/>
        <v>737.5114308026032</v>
      </c>
      <c r="J88" s="18">
        <f t="shared" si="49"/>
        <v>257.39148935010854</v>
      </c>
      <c r="K88" s="14">
        <f t="shared" si="59"/>
        <v>8823.356457564576</v>
      </c>
      <c r="L88" s="23">
        <f t="shared" si="60"/>
        <v>0.053172727272727274</v>
      </c>
      <c r="M88" s="19">
        <f t="shared" si="50"/>
        <v>469.16192654813824</v>
      </c>
      <c r="N88" s="14">
        <f t="shared" si="51"/>
        <v>3150.3703439396368</v>
      </c>
      <c r="O88" s="15">
        <f t="shared" si="52"/>
        <v>0.4844304585563284</v>
      </c>
      <c r="P88" s="24">
        <f t="shared" si="53"/>
        <v>209.3922288829879</v>
      </c>
      <c r="Q88" s="25">
        <f t="shared" si="54"/>
        <v>-2.3782083150417748</v>
      </c>
    </row>
    <row r="89" spans="2:17" ht="12.75">
      <c r="B89">
        <v>5</v>
      </c>
      <c r="C89">
        <f t="shared" si="55"/>
        <v>0.1</v>
      </c>
      <c r="D89" s="28">
        <f t="shared" si="56"/>
        <v>0.26032151871000003</v>
      </c>
      <c r="E89" s="28">
        <f t="shared" si="57"/>
        <v>0.62</v>
      </c>
      <c r="F89" s="14">
        <f t="shared" si="46"/>
        <v>13106.868832464794</v>
      </c>
      <c r="G89" s="14">
        <f t="shared" si="58"/>
        <v>673.1856838080001</v>
      </c>
      <c r="H89" s="14">
        <f t="shared" si="47"/>
        <v>56.95063268657702</v>
      </c>
      <c r="I89" s="14">
        <f t="shared" si="48"/>
        <v>730.1363164945772</v>
      </c>
      <c r="J89" s="18">
        <f t="shared" si="49"/>
        <v>254.81757445660742</v>
      </c>
      <c r="K89" s="14">
        <f t="shared" si="59"/>
        <v>8823.356457564576</v>
      </c>
      <c r="L89" s="23">
        <f t="shared" si="60"/>
        <v>0.053172727272727274</v>
      </c>
      <c r="M89" s="19">
        <f t="shared" si="50"/>
        <v>469.16192654813824</v>
      </c>
      <c r="N89" s="14">
        <f t="shared" si="51"/>
        <v>3173.5714505371407</v>
      </c>
      <c r="O89" s="15">
        <f t="shared" si="52"/>
        <v>0.4862632757177421</v>
      </c>
      <c r="P89" s="24">
        <f t="shared" si="53"/>
        <v>210.9343115249061</v>
      </c>
      <c r="Q89" s="25">
        <f t="shared" si="54"/>
        <v>-3.4100405666247298</v>
      </c>
    </row>
    <row r="90" spans="2:17" ht="12.75">
      <c r="B90">
        <v>6</v>
      </c>
      <c r="C90">
        <f t="shared" si="55"/>
        <v>0.1</v>
      </c>
      <c r="D90" s="28">
        <f t="shared" si="56"/>
        <v>0.25771830352290004</v>
      </c>
      <c r="E90" s="28">
        <f t="shared" si="57"/>
        <v>0.62</v>
      </c>
      <c r="F90" s="14">
        <f t="shared" si="46"/>
        <v>13239.261446934135</v>
      </c>
      <c r="G90" s="14">
        <f t="shared" si="58"/>
        <v>666.4538269699201</v>
      </c>
      <c r="H90" s="14">
        <f t="shared" si="47"/>
        <v>56.381126359711175</v>
      </c>
      <c r="I90" s="14">
        <f t="shared" si="48"/>
        <v>722.8349533296313</v>
      </c>
      <c r="J90" s="18">
        <f t="shared" si="49"/>
        <v>252.26939871204132</v>
      </c>
      <c r="K90" s="14">
        <f t="shared" si="59"/>
        <v>8823.356457564576</v>
      </c>
      <c r="L90" s="23">
        <f t="shared" si="60"/>
        <v>0.053172727272727274</v>
      </c>
      <c r="M90" s="19">
        <f t="shared" si="50"/>
        <v>469.16192654813824</v>
      </c>
      <c r="N90" s="14">
        <f t="shared" si="51"/>
        <v>3196.54054606867</v>
      </c>
      <c r="O90" s="15">
        <f t="shared" si="52"/>
        <v>0.4880649734413554</v>
      </c>
      <c r="P90" s="24">
        <f t="shared" si="53"/>
        <v>212.46097334040513</v>
      </c>
      <c r="Q90" s="25">
        <f t="shared" si="54"/>
        <v>-4.431554495691785</v>
      </c>
    </row>
    <row r="91" spans="2:17" ht="12.75">
      <c r="B91">
        <v>7</v>
      </c>
      <c r="C91">
        <f t="shared" si="55"/>
        <v>0.1</v>
      </c>
      <c r="D91" s="28">
        <f t="shared" si="56"/>
        <v>0.255141120487671</v>
      </c>
      <c r="E91" s="28">
        <f t="shared" si="57"/>
        <v>0.62</v>
      </c>
      <c r="F91" s="14">
        <f t="shared" si="46"/>
        <v>13372.99136053953</v>
      </c>
      <c r="G91" s="14">
        <f t="shared" si="58"/>
        <v>659.7892887002209</v>
      </c>
      <c r="H91" s="14">
        <f t="shared" si="47"/>
        <v>55.81731509611416</v>
      </c>
      <c r="I91" s="14">
        <f t="shared" si="48"/>
        <v>715.6066037963351</v>
      </c>
      <c r="J91" s="18">
        <f t="shared" si="49"/>
        <v>249.74670472492093</v>
      </c>
      <c r="K91" s="14">
        <f t="shared" si="59"/>
        <v>8823.356457564576</v>
      </c>
      <c r="L91" s="23">
        <f t="shared" si="60"/>
        <v>0.053172727272727274</v>
      </c>
      <c r="M91" s="19">
        <f t="shared" si="50"/>
        <v>469.16192654813824</v>
      </c>
      <c r="N91" s="14">
        <f t="shared" si="51"/>
        <v>3219.2799506448837</v>
      </c>
      <c r="O91" s="15">
        <f t="shared" si="52"/>
        <v>0.48983624891631544</v>
      </c>
      <c r="P91" s="24">
        <f t="shared" si="53"/>
        <v>213.97236853774913</v>
      </c>
      <c r="Q91" s="25">
        <f t="shared" si="54"/>
        <v>-5.442853285468175</v>
      </c>
    </row>
    <row r="92" spans="2:17" ht="12.75">
      <c r="B92">
        <v>8</v>
      </c>
      <c r="C92">
        <f t="shared" si="55"/>
        <v>0.1</v>
      </c>
      <c r="D92" s="28">
        <f t="shared" si="56"/>
        <v>0.2525897092827943</v>
      </c>
      <c r="E92" s="28">
        <f t="shared" si="57"/>
        <v>0.62</v>
      </c>
      <c r="F92" s="14">
        <f t="shared" si="46"/>
        <v>13508.072081353062</v>
      </c>
      <c r="G92" s="14">
        <f t="shared" si="58"/>
        <v>653.1913958132186</v>
      </c>
      <c r="H92" s="14">
        <f t="shared" si="47"/>
        <v>55.25914194515292</v>
      </c>
      <c r="I92" s="14">
        <f t="shared" si="48"/>
        <v>708.4505377583715</v>
      </c>
      <c r="J92" s="18">
        <f t="shared" si="49"/>
        <v>247.24923767767166</v>
      </c>
      <c r="K92" s="14">
        <f t="shared" si="59"/>
        <v>8823.356457564576</v>
      </c>
      <c r="L92" s="23">
        <f t="shared" si="60"/>
        <v>0.053172727272727274</v>
      </c>
      <c r="M92" s="19">
        <f t="shared" si="50"/>
        <v>469.16192654813824</v>
      </c>
      <c r="N92" s="14">
        <f t="shared" si="51"/>
        <v>3241.7919611753355</v>
      </c>
      <c r="O92" s="15">
        <f t="shared" si="52"/>
        <v>0.4915777790062849</v>
      </c>
      <c r="P92" s="24">
        <f t="shared" si="53"/>
        <v>215.46864978311973</v>
      </c>
      <c r="Q92" s="25">
        <f t="shared" si="54"/>
        <v>-6.444039087346823</v>
      </c>
    </row>
    <row r="93" spans="2:17" ht="12.75">
      <c r="B93">
        <v>9</v>
      </c>
      <c r="C93">
        <f t="shared" si="55"/>
        <v>0.1</v>
      </c>
      <c r="D93" s="28">
        <f t="shared" si="56"/>
        <v>0.2500638121899663</v>
      </c>
      <c r="E93" s="28">
        <f t="shared" si="57"/>
        <v>0.62</v>
      </c>
      <c r="F93" s="14">
        <f t="shared" si="46"/>
        <v>13644.517253891983</v>
      </c>
      <c r="G93" s="14">
        <f t="shared" si="58"/>
        <v>646.6594818550864</v>
      </c>
      <c r="H93" s="14">
        <f t="shared" si="47"/>
        <v>54.70655052570146</v>
      </c>
      <c r="I93" s="14">
        <f t="shared" si="48"/>
        <v>701.3660323807878</v>
      </c>
      <c r="J93" s="18">
        <f t="shared" si="49"/>
        <v>244.77674530089496</v>
      </c>
      <c r="K93" s="14">
        <f t="shared" si="59"/>
        <v>8823.356457564576</v>
      </c>
      <c r="L93" s="23">
        <f t="shared" si="60"/>
        <v>0.053172727272727274</v>
      </c>
      <c r="M93" s="19">
        <f t="shared" si="50"/>
        <v>469.16192654813824</v>
      </c>
      <c r="N93" s="14">
        <f t="shared" si="51"/>
        <v>3264.0788516004823</v>
      </c>
      <c r="O93" s="15">
        <f t="shared" si="52"/>
        <v>0.49329022098576497</v>
      </c>
      <c r="P93" s="24">
        <f t="shared" si="53"/>
        <v>216.94996821603658</v>
      </c>
      <c r="Q93" s="25">
        <f t="shared" si="54"/>
        <v>-7.435213031206672</v>
      </c>
    </row>
    <row r="94" spans="2:17" ht="12.75">
      <c r="B94">
        <v>10</v>
      </c>
      <c r="C94">
        <f t="shared" si="55"/>
        <v>0.1</v>
      </c>
      <c r="D94" s="28">
        <f t="shared" si="56"/>
        <v>0.24756317406806666</v>
      </c>
      <c r="E94" s="28">
        <f t="shared" si="57"/>
        <v>0.62</v>
      </c>
      <c r="F94" s="14">
        <f t="shared" si="46"/>
        <v>13782.340660496953</v>
      </c>
      <c r="G94" s="14">
        <f t="shared" si="58"/>
        <v>640.1928870365356</v>
      </c>
      <c r="H94" s="14">
        <f t="shared" si="47"/>
        <v>54.159485020444436</v>
      </c>
      <c r="I94" s="14">
        <f t="shared" si="48"/>
        <v>694.35237205698</v>
      </c>
      <c r="J94" s="18">
        <f t="shared" si="49"/>
        <v>242.32897784788605</v>
      </c>
      <c r="K94" s="14">
        <f t="shared" si="59"/>
        <v>8823.356457564576</v>
      </c>
      <c r="L94" s="23">
        <f t="shared" si="60"/>
        <v>0.053172727272727274</v>
      </c>
      <c r="M94" s="19">
        <f t="shared" si="50"/>
        <v>469.16192654813824</v>
      </c>
      <c r="N94" s="14">
        <f t="shared" si="51"/>
        <v>3286.1428731213778</v>
      </c>
      <c r="O94" s="15">
        <f t="shared" si="52"/>
        <v>0.4949742132446141</v>
      </c>
      <c r="P94" s="24">
        <f t="shared" si="53"/>
        <v>218.4164734646243</v>
      </c>
      <c r="Q94" s="25">
        <f t="shared" si="54"/>
        <v>-8.4164752356279</v>
      </c>
    </row>
    <row r="96" spans="1:17" ht="12.75">
      <c r="A96" s="30" t="s">
        <v>73</v>
      </c>
      <c r="C96" s="36">
        <f>SUM(C85:C94)/10</f>
        <v>0.09999999999999999</v>
      </c>
      <c r="D96" s="37">
        <f>SUM(D85:D94)/10</f>
        <v>0.25912457672613987</v>
      </c>
      <c r="E96" s="37">
        <f>E85</f>
        <v>0.62</v>
      </c>
      <c r="F96" s="38">
        <f>SUM(F85:F94)/10</f>
        <v>13178.388154785014</v>
      </c>
      <c r="G96" s="35">
        <f>SUM(G85:G94)</f>
        <v>6700.904183382982</v>
      </c>
      <c r="H96" s="35">
        <f>SUM(H85:H94)</f>
        <v>566.8877725638529</v>
      </c>
      <c r="I96" s="35">
        <f>SUM(I85:I94)</f>
        <v>7267.7919559468355</v>
      </c>
      <c r="J96" s="35">
        <f>SUM(J85:J94)</f>
        <v>2536.4593926254456</v>
      </c>
      <c r="K96" s="35">
        <f>SUM(K85:K94)</f>
        <v>88233.56457564574</v>
      </c>
      <c r="L96" s="39">
        <f>SUM(L85:L94)/10</f>
        <v>0.053172727272727274</v>
      </c>
      <c r="M96" s="35">
        <f>SUM(M85:M94)</f>
        <v>4691.619265481382</v>
      </c>
      <c r="N96" s="35">
        <f>SUM(N85:N94)</f>
        <v>31841.324963197636</v>
      </c>
      <c r="O96" s="37">
        <f>SUM(O85:O94)/10</f>
        <v>0.48704095416794935</v>
      </c>
      <c r="P96" s="35">
        <f>SUM(P85:P94)</f>
        <v>2116.3626103379884</v>
      </c>
      <c r="Q96" s="63">
        <f>SUM(Q85:Q94)</f>
        <v>-38.797262517948525</v>
      </c>
    </row>
    <row r="97" spans="1:17" ht="12.75">
      <c r="A97" s="30" t="s">
        <v>74</v>
      </c>
      <c r="C97" s="30">
        <v>1</v>
      </c>
      <c r="D97" s="37">
        <f>D96</f>
        <v>0.25912457672613987</v>
      </c>
      <c r="E97" s="37">
        <f>E85</f>
        <v>0.62</v>
      </c>
      <c r="F97" s="40">
        <f>F96</f>
        <v>13178.388154785014</v>
      </c>
      <c r="G97" s="35">
        <f>G96*($C97/$C96)</f>
        <v>67009.04183382982</v>
      </c>
      <c r="H97" s="35">
        <f>H96*($C97/$C96)</f>
        <v>5668.877725638529</v>
      </c>
      <c r="I97" s="35">
        <f>I96*($C97/$C96)</f>
        <v>72677.91955946836</v>
      </c>
      <c r="J97" s="35">
        <f>J96*($C97/$C96)</f>
        <v>25364.593926254456</v>
      </c>
      <c r="K97" s="35">
        <f>K96*($C97/$C96)</f>
        <v>882335.6457564574</v>
      </c>
      <c r="L97" s="41">
        <f>L96</f>
        <v>0.053172727272727274</v>
      </c>
      <c r="M97" s="35">
        <f>M96*($C97/$C96)</f>
        <v>46916.19265481382</v>
      </c>
      <c r="N97" s="35">
        <f>N96*($C97/$C96)</f>
        <v>318413.24963197636</v>
      </c>
      <c r="O97" s="37">
        <f>O96</f>
        <v>0.48704095416794935</v>
      </c>
      <c r="P97" s="35">
        <f>P96*($C97/$C96)</f>
        <v>21163.626103379884</v>
      </c>
      <c r="Q97" s="63">
        <f>Q96*($C97/$C96)</f>
        <v>-387.97262517948525</v>
      </c>
    </row>
    <row r="98" ht="12.75">
      <c r="A98" s="70" t="s">
        <v>113</v>
      </c>
    </row>
    <row r="99" ht="12.75">
      <c r="A99" s="70"/>
    </row>
    <row r="102" ht="12.75">
      <c r="A102" s="86" t="str">
        <f>A105</f>
        <v>Lean Burn Engine</v>
      </c>
    </row>
    <row r="103" spans="1:17" ht="39">
      <c r="A103" s="71"/>
      <c r="B103" s="3"/>
      <c r="C103" s="4" t="s">
        <v>3</v>
      </c>
      <c r="D103" s="4" t="s">
        <v>106</v>
      </c>
      <c r="E103" s="4" t="s">
        <v>98</v>
      </c>
      <c r="F103" s="6" t="s">
        <v>21</v>
      </c>
      <c r="G103" s="6" t="s">
        <v>28</v>
      </c>
      <c r="H103" s="11" t="s">
        <v>14</v>
      </c>
      <c r="I103" s="11" t="s">
        <v>17</v>
      </c>
      <c r="J103" s="12" t="s">
        <v>27</v>
      </c>
      <c r="K103" s="5" t="s">
        <v>5</v>
      </c>
      <c r="L103" s="5" t="s">
        <v>19</v>
      </c>
      <c r="M103" s="16" t="s">
        <v>29</v>
      </c>
      <c r="N103" s="5" t="s">
        <v>35</v>
      </c>
      <c r="O103" s="5" t="s">
        <v>18</v>
      </c>
      <c r="P103" s="22" t="s">
        <v>30</v>
      </c>
      <c r="Q103" s="21" t="s">
        <v>31</v>
      </c>
    </row>
    <row r="104" spans="1:17" ht="26.25" thickBot="1">
      <c r="A104" s="78" t="s">
        <v>8</v>
      </c>
      <c r="B104" s="3" t="s">
        <v>32</v>
      </c>
      <c r="C104" s="4" t="s">
        <v>4</v>
      </c>
      <c r="D104" s="4" t="s">
        <v>2</v>
      </c>
      <c r="E104" s="4" t="s">
        <v>2</v>
      </c>
      <c r="F104" s="6" t="s">
        <v>11</v>
      </c>
      <c r="G104" s="6" t="s">
        <v>1</v>
      </c>
      <c r="H104" s="6" t="s">
        <v>1</v>
      </c>
      <c r="I104" s="6" t="s">
        <v>1</v>
      </c>
      <c r="J104" s="22" t="s">
        <v>13</v>
      </c>
      <c r="K104" s="4" t="s">
        <v>0</v>
      </c>
      <c r="L104" s="4" t="s">
        <v>20</v>
      </c>
      <c r="M104" s="17" t="s">
        <v>13</v>
      </c>
      <c r="N104" s="4" t="s">
        <v>0</v>
      </c>
      <c r="O104" s="4" t="s">
        <v>0</v>
      </c>
      <c r="P104" s="22" t="s">
        <v>13</v>
      </c>
      <c r="Q104" s="21" t="s">
        <v>13</v>
      </c>
    </row>
    <row r="105" spans="1:17" ht="13.5" thickBot="1">
      <c r="A105" s="79" t="s">
        <v>34</v>
      </c>
      <c r="B105">
        <v>1</v>
      </c>
      <c r="C105">
        <f>VLOOKUP(A105,$A$8:$E$14,2,FALSE)</f>
        <v>0.8</v>
      </c>
      <c r="D105" s="28">
        <f>VLOOKUP(A105,$A$8:$E$14,3,FALSE)</f>
        <v>0.35</v>
      </c>
      <c r="E105" s="28">
        <f>VLOOKUP(A105,$A$8:$E$14,4,FALSE)</f>
        <v>0.62</v>
      </c>
      <c r="F105" s="14">
        <f>3412/D105</f>
        <v>9748.57142857143</v>
      </c>
      <c r="G105" s="14">
        <f>C105*8760*$B$4</f>
        <v>5606.400000000001</v>
      </c>
      <c r="H105" s="14">
        <f>G105/(1-$B$19)-G105</f>
        <v>474.29414316702787</v>
      </c>
      <c r="I105" s="14">
        <f>H105+G105</f>
        <v>6080.694143167028</v>
      </c>
      <c r="J105" s="18">
        <f>(I105)*$B$18/1000</f>
        <v>2122.162255965293</v>
      </c>
      <c r="K105" s="14">
        <f>F105*G105*1000/10^6</f>
        <v>54654.39085714287</v>
      </c>
      <c r="L105" s="23">
        <f>'Standard Assumptions'!$B$12</f>
        <v>0.053172727272727274</v>
      </c>
      <c r="M105" s="19">
        <f>K105*L105</f>
        <v>2906.123019303897</v>
      </c>
      <c r="N105" s="14">
        <f>IF(E105=0,0,(E105*K105-(G105*3412*1000/10^6)))</f>
        <v>14756.685531428579</v>
      </c>
      <c r="O105" s="15">
        <f>N105/(K105-(G105*3412*1000/10^6))</f>
        <v>0.41538461538461546</v>
      </c>
      <c r="P105" s="24">
        <f>(N105/0.8)*L105</f>
        <v>980.8165190150654</v>
      </c>
      <c r="Q105" s="25">
        <f>(P105+J105)-M105</f>
        <v>196.85575567646129</v>
      </c>
    </row>
    <row r="106" spans="2:17" ht="12.75">
      <c r="B106">
        <v>2</v>
      </c>
      <c r="C106">
        <f>C105</f>
        <v>0.8</v>
      </c>
      <c r="D106" s="28">
        <f>D105*(1-$B$5)</f>
        <v>0.3465</v>
      </c>
      <c r="E106" s="28">
        <f>E105</f>
        <v>0.62</v>
      </c>
      <c r="F106" s="14">
        <f aca="true" t="shared" si="61" ref="F106:F114">3412/D106</f>
        <v>9847.041847041848</v>
      </c>
      <c r="G106" s="14">
        <f>K106/F106*1000</f>
        <v>5550.336</v>
      </c>
      <c r="H106" s="14">
        <f aca="true" t="shared" si="62" ref="H106:H114">G106/(1-$B$19)-G106</f>
        <v>469.5512017353576</v>
      </c>
      <c r="I106" s="14">
        <f aca="true" t="shared" si="63" ref="I106:I114">H106+G106</f>
        <v>6019.887201735358</v>
      </c>
      <c r="J106" s="18">
        <f aca="true" t="shared" si="64" ref="J106:J114">(I106)*$B$18/1000</f>
        <v>2100.94063340564</v>
      </c>
      <c r="K106" s="14">
        <f>K105</f>
        <v>54654.39085714287</v>
      </c>
      <c r="L106" s="23">
        <f>L105</f>
        <v>0.053172727272727274</v>
      </c>
      <c r="M106" s="19">
        <f aca="true" t="shared" si="65" ref="M106:M114">K106*L106</f>
        <v>2906.123019303897</v>
      </c>
      <c r="N106" s="14">
        <f aca="true" t="shared" si="66" ref="N106:N114">IF(E106=0,0,(E106*K106-(G106*3412*1000/10^6)))</f>
        <v>14947.97589942858</v>
      </c>
      <c r="O106" s="15">
        <f aca="true" t="shared" si="67" ref="O106:O114">N106/(K106-(G106*3412*1000/10^6))</f>
        <v>0.41851568477429235</v>
      </c>
      <c r="P106" s="24">
        <f aca="true" t="shared" si="68" ref="P106:P114">(N106/0.8)*L106</f>
        <v>993.5308072245201</v>
      </c>
      <c r="Q106" s="25">
        <f aca="true" t="shared" si="69" ref="Q106:Q114">(P106+J106)-M106</f>
        <v>188.34842132626318</v>
      </c>
    </row>
    <row r="107" spans="2:17" ht="12.75">
      <c r="B107">
        <v>3</v>
      </c>
      <c r="C107">
        <f aca="true" t="shared" si="70" ref="C107:C114">C106</f>
        <v>0.8</v>
      </c>
      <c r="D107" s="28">
        <f aca="true" t="shared" si="71" ref="D107:D114">D106*(1-$B$5)</f>
        <v>0.343035</v>
      </c>
      <c r="E107" s="28">
        <f aca="true" t="shared" si="72" ref="E107:E114">E106</f>
        <v>0.62</v>
      </c>
      <c r="F107" s="14">
        <f t="shared" si="61"/>
        <v>9946.506916203887</v>
      </c>
      <c r="G107" s="14">
        <f aca="true" t="shared" si="73" ref="G107:G114">K107/F107*1000</f>
        <v>5494.8326400000005</v>
      </c>
      <c r="H107" s="14">
        <f t="shared" si="62"/>
        <v>464.8556897180042</v>
      </c>
      <c r="I107" s="14">
        <f t="shared" si="63"/>
        <v>5959.688329718005</v>
      </c>
      <c r="J107" s="18">
        <f t="shared" si="64"/>
        <v>2079.9312270715836</v>
      </c>
      <c r="K107" s="14">
        <f aca="true" t="shared" si="74" ref="K107:K114">K106</f>
        <v>54654.39085714287</v>
      </c>
      <c r="L107" s="23">
        <f aca="true" t="shared" si="75" ref="L107:L114">L106</f>
        <v>0.053172727272727274</v>
      </c>
      <c r="M107" s="19">
        <f t="shared" si="65"/>
        <v>2906.123019303897</v>
      </c>
      <c r="N107" s="14">
        <f t="shared" si="66"/>
        <v>15137.353363748574</v>
      </c>
      <c r="O107" s="15">
        <f t="shared" si="67"/>
        <v>0.42158258050276654</v>
      </c>
      <c r="P107" s="24">
        <f t="shared" si="68"/>
        <v>1006.1179525518796</v>
      </c>
      <c r="Q107" s="25">
        <f t="shared" si="69"/>
        <v>179.9261603195664</v>
      </c>
    </row>
    <row r="108" spans="2:17" ht="12.75">
      <c r="B108">
        <v>4</v>
      </c>
      <c r="C108">
        <f t="shared" si="70"/>
        <v>0.8</v>
      </c>
      <c r="D108" s="28">
        <f t="shared" si="71"/>
        <v>0.33960464999999995</v>
      </c>
      <c r="E108" s="28">
        <f t="shared" si="72"/>
        <v>0.62</v>
      </c>
      <c r="F108" s="14">
        <f t="shared" si="61"/>
        <v>10046.976683034229</v>
      </c>
      <c r="G108" s="14">
        <f t="shared" si="73"/>
        <v>5439.884313600001</v>
      </c>
      <c r="H108" s="14">
        <f t="shared" si="62"/>
        <v>460.207132820824</v>
      </c>
      <c r="I108" s="14">
        <f t="shared" si="63"/>
        <v>5900.091446420825</v>
      </c>
      <c r="J108" s="18">
        <f t="shared" si="64"/>
        <v>2059.1319148008683</v>
      </c>
      <c r="K108" s="14">
        <f t="shared" si="74"/>
        <v>54654.39085714287</v>
      </c>
      <c r="L108" s="23">
        <f t="shared" si="75"/>
        <v>0.053172727272727274</v>
      </c>
      <c r="M108" s="19">
        <f t="shared" si="65"/>
        <v>2906.123019303897</v>
      </c>
      <c r="N108" s="14">
        <f t="shared" si="66"/>
        <v>15324.837053425377</v>
      </c>
      <c r="O108" s="15">
        <f t="shared" si="67"/>
        <v>0.4245871052847359</v>
      </c>
      <c r="P108" s="24">
        <f t="shared" si="68"/>
        <v>1018.5792264259663</v>
      </c>
      <c r="Q108" s="25">
        <f t="shared" si="69"/>
        <v>171.58812192293772</v>
      </c>
    </row>
    <row r="109" spans="2:17" ht="12.75">
      <c r="B109">
        <v>5</v>
      </c>
      <c r="C109">
        <f t="shared" si="70"/>
        <v>0.8</v>
      </c>
      <c r="D109" s="28">
        <f t="shared" si="71"/>
        <v>0.3362086034999999</v>
      </c>
      <c r="E109" s="28">
        <f t="shared" si="72"/>
        <v>0.62</v>
      </c>
      <c r="F109" s="14">
        <f t="shared" si="61"/>
        <v>10148.461295994171</v>
      </c>
      <c r="G109" s="14">
        <f t="shared" si="73"/>
        <v>5385.485470464</v>
      </c>
      <c r="H109" s="14">
        <f t="shared" si="62"/>
        <v>455.6050614926162</v>
      </c>
      <c r="I109" s="14">
        <f t="shared" si="63"/>
        <v>5841.090531956616</v>
      </c>
      <c r="J109" s="18">
        <f t="shared" si="64"/>
        <v>2038.540595652859</v>
      </c>
      <c r="K109" s="14">
        <f t="shared" si="74"/>
        <v>54654.39085714287</v>
      </c>
      <c r="L109" s="23">
        <f t="shared" si="75"/>
        <v>0.053172727272727274</v>
      </c>
      <c r="M109" s="19">
        <f t="shared" si="65"/>
        <v>2906.123019303897</v>
      </c>
      <c r="N109" s="14">
        <f t="shared" si="66"/>
        <v>15510.445906205412</v>
      </c>
      <c r="O109" s="15">
        <f t="shared" si="67"/>
        <v>0.42753099542470496</v>
      </c>
      <c r="P109" s="24">
        <f t="shared" si="68"/>
        <v>1030.915887561312</v>
      </c>
      <c r="Q109" s="25">
        <f t="shared" si="69"/>
        <v>163.33346391027453</v>
      </c>
    </row>
    <row r="110" spans="2:17" ht="12.75">
      <c r="B110">
        <v>6</v>
      </c>
      <c r="C110">
        <f t="shared" si="70"/>
        <v>0.8</v>
      </c>
      <c r="D110" s="28">
        <f t="shared" si="71"/>
        <v>0.33284651746499994</v>
      </c>
      <c r="E110" s="28">
        <f t="shared" si="72"/>
        <v>0.62</v>
      </c>
      <c r="F110" s="14">
        <f t="shared" si="61"/>
        <v>10250.971006054719</v>
      </c>
      <c r="G110" s="14">
        <f t="shared" si="73"/>
        <v>5331.630615759361</v>
      </c>
      <c r="H110" s="14">
        <f t="shared" si="62"/>
        <v>451.0490108776894</v>
      </c>
      <c r="I110" s="14">
        <f t="shared" si="63"/>
        <v>5782.67962663705</v>
      </c>
      <c r="J110" s="18">
        <f t="shared" si="64"/>
        <v>2018.1551896963306</v>
      </c>
      <c r="K110" s="14">
        <f t="shared" si="74"/>
        <v>54654.39085714287</v>
      </c>
      <c r="L110" s="23">
        <f t="shared" si="75"/>
        <v>0.053172727272727274</v>
      </c>
      <c r="M110" s="19">
        <f t="shared" si="65"/>
        <v>2906.123019303897</v>
      </c>
      <c r="N110" s="14">
        <f t="shared" si="66"/>
        <v>15694.198670457645</v>
      </c>
      <c r="O110" s="15">
        <f t="shared" si="67"/>
        <v>0.4304159238499298</v>
      </c>
      <c r="P110" s="24">
        <f t="shared" si="68"/>
        <v>1043.1291820853041</v>
      </c>
      <c r="Q110" s="25">
        <f t="shared" si="69"/>
        <v>155.1613524777381</v>
      </c>
    </row>
    <row r="111" spans="2:17" ht="12.75">
      <c r="B111">
        <v>7</v>
      </c>
      <c r="C111">
        <f t="shared" si="70"/>
        <v>0.8</v>
      </c>
      <c r="D111" s="28">
        <f t="shared" si="71"/>
        <v>0.3295180522903499</v>
      </c>
      <c r="E111" s="28">
        <f t="shared" si="72"/>
        <v>0.62</v>
      </c>
      <c r="F111" s="14">
        <f t="shared" si="61"/>
        <v>10354.51616773204</v>
      </c>
      <c r="G111" s="14">
        <f t="shared" si="73"/>
        <v>5278.314309601767</v>
      </c>
      <c r="H111" s="14">
        <f t="shared" si="62"/>
        <v>446.53852076891235</v>
      </c>
      <c r="I111" s="14">
        <f t="shared" si="63"/>
        <v>5724.852830370679</v>
      </c>
      <c r="J111" s="18">
        <f t="shared" si="64"/>
        <v>1997.9736377993668</v>
      </c>
      <c r="K111" s="14">
        <f t="shared" si="74"/>
        <v>54654.39085714287</v>
      </c>
      <c r="L111" s="23">
        <f t="shared" si="75"/>
        <v>0.053172727272727274</v>
      </c>
      <c r="M111" s="19">
        <f t="shared" si="65"/>
        <v>2906.123019303897</v>
      </c>
      <c r="N111" s="14">
        <f t="shared" si="66"/>
        <v>15876.113907067353</v>
      </c>
      <c r="O111" s="15">
        <f t="shared" si="67"/>
        <v>0.4332435029786101</v>
      </c>
      <c r="P111" s="24">
        <f t="shared" si="68"/>
        <v>1055.2203436640561</v>
      </c>
      <c r="Q111" s="25">
        <f t="shared" si="69"/>
        <v>147.07096215952606</v>
      </c>
    </row>
    <row r="112" spans="2:17" ht="12.75">
      <c r="B112">
        <v>8</v>
      </c>
      <c r="C112">
        <f t="shared" si="70"/>
        <v>0.8</v>
      </c>
      <c r="D112" s="28">
        <f t="shared" si="71"/>
        <v>0.3262228717674464</v>
      </c>
      <c r="E112" s="28">
        <f t="shared" si="72"/>
        <v>0.62</v>
      </c>
      <c r="F112" s="14">
        <f t="shared" si="61"/>
        <v>10459.107240133375</v>
      </c>
      <c r="G112" s="14">
        <f t="shared" si="73"/>
        <v>5225.531166505748</v>
      </c>
      <c r="H112" s="14">
        <f t="shared" si="62"/>
        <v>442.07313556122335</v>
      </c>
      <c r="I112" s="14">
        <f t="shared" si="63"/>
        <v>5667.604302066971</v>
      </c>
      <c r="J112" s="18">
        <f t="shared" si="64"/>
        <v>1977.993901421373</v>
      </c>
      <c r="K112" s="14">
        <f t="shared" si="74"/>
        <v>54654.39085714287</v>
      </c>
      <c r="L112" s="23">
        <f t="shared" si="75"/>
        <v>0.053172727272727274</v>
      </c>
      <c r="M112" s="19">
        <f t="shared" si="65"/>
        <v>2906.123019303897</v>
      </c>
      <c r="N112" s="14">
        <f t="shared" si="66"/>
        <v>16056.20999131097</v>
      </c>
      <c r="O112" s="15">
        <f t="shared" si="67"/>
        <v>0.43601528743367607</v>
      </c>
      <c r="P112" s="24">
        <f t="shared" si="68"/>
        <v>1067.1905936270211</v>
      </c>
      <c r="Q112" s="25">
        <f t="shared" si="69"/>
        <v>139.06147574449733</v>
      </c>
    </row>
    <row r="113" spans="2:17" ht="12.75">
      <c r="B113">
        <v>9</v>
      </c>
      <c r="C113">
        <f t="shared" si="70"/>
        <v>0.8</v>
      </c>
      <c r="D113" s="28">
        <f t="shared" si="71"/>
        <v>0.32296064304977196</v>
      </c>
      <c r="E113" s="28">
        <f t="shared" si="72"/>
        <v>0.62</v>
      </c>
      <c r="F113" s="14">
        <f t="shared" si="61"/>
        <v>10564.754788013508</v>
      </c>
      <c r="G113" s="14">
        <f t="shared" si="73"/>
        <v>5173.275854840692</v>
      </c>
      <c r="H113" s="14">
        <f t="shared" si="62"/>
        <v>437.6524042056117</v>
      </c>
      <c r="I113" s="14">
        <f t="shared" si="63"/>
        <v>5610.9282590463035</v>
      </c>
      <c r="J113" s="18">
        <f t="shared" si="64"/>
        <v>1958.21396240716</v>
      </c>
      <c r="K113" s="14">
        <f t="shared" si="74"/>
        <v>54654.39085714287</v>
      </c>
      <c r="L113" s="23">
        <f t="shared" si="75"/>
        <v>0.053172727272727274</v>
      </c>
      <c r="M113" s="19">
        <f t="shared" si="65"/>
        <v>2906.123019303897</v>
      </c>
      <c r="N113" s="14">
        <f t="shared" si="66"/>
        <v>16234.505114712138</v>
      </c>
      <c r="O113" s="15">
        <f t="shared" si="67"/>
        <v>0.4387327766117807</v>
      </c>
      <c r="P113" s="24">
        <f t="shared" si="68"/>
        <v>1079.0411410903555</v>
      </c>
      <c r="Q113" s="25">
        <f t="shared" si="69"/>
        <v>131.13208419361854</v>
      </c>
    </row>
    <row r="114" spans="2:17" ht="12.75">
      <c r="B114">
        <v>10</v>
      </c>
      <c r="C114">
        <f t="shared" si="70"/>
        <v>0.8</v>
      </c>
      <c r="D114" s="28">
        <f t="shared" si="71"/>
        <v>0.3197310366192742</v>
      </c>
      <c r="E114" s="28">
        <f t="shared" si="72"/>
        <v>0.62</v>
      </c>
      <c r="F114" s="14">
        <f t="shared" si="61"/>
        <v>10671.469482841929</v>
      </c>
      <c r="G114" s="14">
        <f t="shared" si="73"/>
        <v>5121.543096292284</v>
      </c>
      <c r="H114" s="14">
        <f t="shared" si="62"/>
        <v>433.2758801635555</v>
      </c>
      <c r="I114" s="14">
        <f t="shared" si="63"/>
        <v>5554.818976455839</v>
      </c>
      <c r="J114" s="18">
        <f t="shared" si="64"/>
        <v>1938.631822783088</v>
      </c>
      <c r="K114" s="14">
        <f t="shared" si="74"/>
        <v>54654.39085714287</v>
      </c>
      <c r="L114" s="23">
        <f t="shared" si="75"/>
        <v>0.053172727272727274</v>
      </c>
      <c r="M114" s="19">
        <f t="shared" si="65"/>
        <v>2906.123019303897</v>
      </c>
      <c r="N114" s="14">
        <f t="shared" si="66"/>
        <v>16411.01728687931</v>
      </c>
      <c r="O114" s="15">
        <f t="shared" si="67"/>
        <v>0.44139741711643316</v>
      </c>
      <c r="P114" s="24">
        <f t="shared" si="68"/>
        <v>1090.7731830790576</v>
      </c>
      <c r="Q114" s="25">
        <f t="shared" si="69"/>
        <v>123.28198655824872</v>
      </c>
    </row>
    <row r="116" spans="1:17" ht="12.75">
      <c r="A116" s="30" t="s">
        <v>73</v>
      </c>
      <c r="C116" s="36">
        <f>SUM(C105:C114)/10</f>
        <v>0.7999999999999999</v>
      </c>
      <c r="D116" s="37">
        <f>SUM(D105:D114)/10</f>
        <v>0.33466273746918423</v>
      </c>
      <c r="E116" s="37">
        <f>E105</f>
        <v>0.62</v>
      </c>
      <c r="F116" s="38">
        <f>SUM(F105:F114)/10</f>
        <v>10203.837685562114</v>
      </c>
      <c r="G116" s="35">
        <f>SUM(G105:G114)</f>
        <v>53607.23346706386</v>
      </c>
      <c r="H116" s="35">
        <f>SUM(H105:H114)</f>
        <v>4535.102180510822</v>
      </c>
      <c r="I116" s="35">
        <f>SUM(I105:I114)</f>
        <v>58142.33564757467</v>
      </c>
      <c r="J116" s="35">
        <f>SUM(J105:J114)</f>
        <v>20291.675141003565</v>
      </c>
      <c r="K116" s="35">
        <f>SUM(K105:K114)</f>
        <v>546543.9085714287</v>
      </c>
      <c r="L116" s="39">
        <f>SUM(L105:L114)/10</f>
        <v>0.053172727272727274</v>
      </c>
      <c r="M116" s="35">
        <f>SUM(M105:M114)</f>
        <v>29061.23019303897</v>
      </c>
      <c r="N116" s="35">
        <f>SUM(N105:N114)</f>
        <v>155949.34272466393</v>
      </c>
      <c r="O116" s="37">
        <f>SUM(O105:O114)/10</f>
        <v>0.4287405889361545</v>
      </c>
      <c r="P116" s="35">
        <f>SUM(P105:P114)</f>
        <v>10365.314836324538</v>
      </c>
      <c r="Q116" s="63">
        <f>SUM(Q105:Q114)</f>
        <v>1595.7597842891319</v>
      </c>
    </row>
    <row r="117" spans="1:17" ht="12.75">
      <c r="A117" s="30" t="s">
        <v>74</v>
      </c>
      <c r="C117" s="30">
        <v>1</v>
      </c>
      <c r="D117" s="37">
        <f>D116</f>
        <v>0.33466273746918423</v>
      </c>
      <c r="E117" s="37">
        <f>E105</f>
        <v>0.62</v>
      </c>
      <c r="F117" s="40">
        <f>F116</f>
        <v>10203.837685562114</v>
      </c>
      <c r="G117" s="35">
        <f>G116*($C117/$C116)</f>
        <v>67009.04183382982</v>
      </c>
      <c r="H117" s="35">
        <f>H116*($C117/$C116)</f>
        <v>5668.877725638527</v>
      </c>
      <c r="I117" s="35">
        <f>I116*($C117/$C116)</f>
        <v>72677.91955946834</v>
      </c>
      <c r="J117" s="35">
        <f>J116*($C117/$C116)</f>
        <v>25364.593926254456</v>
      </c>
      <c r="K117" s="35">
        <f>K116*($C117/$C116)</f>
        <v>683179.8857142859</v>
      </c>
      <c r="L117" s="41">
        <f>L116</f>
        <v>0.053172727272727274</v>
      </c>
      <c r="M117" s="35">
        <f>M116*($C117/$C116)</f>
        <v>36326.537741298715</v>
      </c>
      <c r="N117" s="35">
        <f>N116*($C117/$C116)</f>
        <v>194936.6784058299</v>
      </c>
      <c r="O117" s="37">
        <f>O116</f>
        <v>0.4287405889361545</v>
      </c>
      <c r="P117" s="35">
        <f>P116*($C117/$C116)</f>
        <v>12956.643545405674</v>
      </c>
      <c r="Q117" s="63">
        <f>Q116*($C117/$C116)</f>
        <v>1994.6997303614148</v>
      </c>
    </row>
    <row r="122" ht="12.75">
      <c r="A122" s="86" t="str">
        <f>A125</f>
        <v>Microturbine</v>
      </c>
    </row>
    <row r="123" spans="1:17" ht="39">
      <c r="A123" s="71"/>
      <c r="B123" s="3"/>
      <c r="C123" s="4" t="s">
        <v>3</v>
      </c>
      <c r="D123" s="4" t="s">
        <v>16</v>
      </c>
      <c r="E123" s="4" t="s">
        <v>114</v>
      </c>
      <c r="F123" s="6" t="s">
        <v>21</v>
      </c>
      <c r="G123" s="6" t="s">
        <v>28</v>
      </c>
      <c r="H123" s="11" t="s">
        <v>14</v>
      </c>
      <c r="I123" s="11" t="s">
        <v>17</v>
      </c>
      <c r="J123" s="12" t="s">
        <v>27</v>
      </c>
      <c r="K123" s="5" t="s">
        <v>5</v>
      </c>
      <c r="L123" s="5" t="s">
        <v>19</v>
      </c>
      <c r="M123" s="16" t="s">
        <v>29</v>
      </c>
      <c r="N123" s="5" t="s">
        <v>35</v>
      </c>
      <c r="O123" s="5" t="s">
        <v>18</v>
      </c>
      <c r="P123" s="22" t="s">
        <v>30</v>
      </c>
      <c r="Q123" s="21" t="s">
        <v>31</v>
      </c>
    </row>
    <row r="124" spans="1:17" ht="26.25" thickBot="1">
      <c r="A124" s="78" t="s">
        <v>8</v>
      </c>
      <c r="B124" s="3" t="s">
        <v>32</v>
      </c>
      <c r="C124" s="4" t="s">
        <v>4</v>
      </c>
      <c r="D124" s="4" t="s">
        <v>2</v>
      </c>
      <c r="E124" s="4" t="s">
        <v>2</v>
      </c>
      <c r="F124" s="6" t="s">
        <v>11</v>
      </c>
      <c r="G124" s="6" t="s">
        <v>1</v>
      </c>
      <c r="H124" s="6" t="s">
        <v>1</v>
      </c>
      <c r="I124" s="6" t="s">
        <v>1</v>
      </c>
      <c r="J124" s="22" t="s">
        <v>13</v>
      </c>
      <c r="K124" s="4" t="s">
        <v>0</v>
      </c>
      <c r="L124" s="4" t="s">
        <v>20</v>
      </c>
      <c r="M124" s="17" t="s">
        <v>13</v>
      </c>
      <c r="N124" s="4" t="s">
        <v>0</v>
      </c>
      <c r="O124" s="4" t="s">
        <v>0</v>
      </c>
      <c r="P124" s="22" t="s">
        <v>13</v>
      </c>
      <c r="Q124" s="21" t="s">
        <v>13</v>
      </c>
    </row>
    <row r="125" spans="1:17" ht="13.5" thickBot="1">
      <c r="A125" s="79" t="s">
        <v>10</v>
      </c>
      <c r="B125">
        <v>1</v>
      </c>
      <c r="C125">
        <f>VLOOKUP(A125,$A$8:$E$14,2,FALSE)</f>
        <v>0.065</v>
      </c>
      <c r="D125" s="28">
        <f>VLOOKUP(A125,$A$8:$E$14,3,FALSE)</f>
        <v>0.252</v>
      </c>
      <c r="E125" s="28">
        <f>VLOOKUP(A125,$A$8:$E$14,4,FALSE)</f>
        <v>0.62</v>
      </c>
      <c r="F125" s="14">
        <f>3412/D125</f>
        <v>13539.682539682539</v>
      </c>
      <c r="G125" s="14">
        <f>C125*8760*$B$4</f>
        <v>455.52</v>
      </c>
      <c r="H125" s="14">
        <f>G125/(1-$B$19)-G125</f>
        <v>38.53639913232104</v>
      </c>
      <c r="I125" s="14">
        <f>H125+G125</f>
        <v>494.056399132321</v>
      </c>
      <c r="J125" s="18">
        <f>(I125)*$B$18/1000</f>
        <v>172.42568329718006</v>
      </c>
      <c r="K125" s="14">
        <f>F125*G125*1000/10^6</f>
        <v>6167.596190476191</v>
      </c>
      <c r="L125" s="23">
        <f>'Standard Assumptions'!$B$12</f>
        <v>0.053172727272727274</v>
      </c>
      <c r="M125" s="19">
        <f>K125*L125</f>
        <v>327.94791016450216</v>
      </c>
      <c r="N125" s="14">
        <f>IF(E125=0,0,(E125*K125-(G125*3412*1000/10^6)))</f>
        <v>2269.675398095238</v>
      </c>
      <c r="O125" s="15">
        <f>N125/(K125-(G125*3412*1000/10^6))</f>
        <v>0.4919786096256684</v>
      </c>
      <c r="P125" s="24">
        <f>(N125/0.8)*L125</f>
        <v>150.856038675671</v>
      </c>
      <c r="Q125" s="25">
        <f>(P125+J125)-M125</f>
        <v>-4.666188191651088</v>
      </c>
    </row>
    <row r="126" spans="2:17" ht="12.75">
      <c r="B126">
        <v>2</v>
      </c>
      <c r="C126">
        <f>C125</f>
        <v>0.065</v>
      </c>
      <c r="D126" s="28">
        <f>D125*(1-$B$5)</f>
        <v>0.24948</v>
      </c>
      <c r="E126" s="28">
        <f>E125</f>
        <v>0.62</v>
      </c>
      <c r="F126" s="14">
        <f aca="true" t="shared" si="76" ref="F126:F134">3412/D126</f>
        <v>13676.447009780342</v>
      </c>
      <c r="G126" s="14">
        <f>K126/F126*1000</f>
        <v>450.9648000000001</v>
      </c>
      <c r="H126" s="14">
        <f aca="true" t="shared" si="77" ref="H126:H134">G126/(1-$B$19)-G126</f>
        <v>38.151035140997806</v>
      </c>
      <c r="I126" s="14">
        <f aca="true" t="shared" si="78" ref="I126:I134">H126+G126</f>
        <v>489.1158351409979</v>
      </c>
      <c r="J126" s="18">
        <f aca="true" t="shared" si="79" ref="J126:J134">(I126)*$B$18/1000</f>
        <v>170.70142646420825</v>
      </c>
      <c r="K126" s="14">
        <f>K125</f>
        <v>6167.596190476191</v>
      </c>
      <c r="L126" s="23">
        <f>L125</f>
        <v>0.053172727272727274</v>
      </c>
      <c r="M126" s="19">
        <f aca="true" t="shared" si="80" ref="M126:M134">K126*L126</f>
        <v>327.94791016450216</v>
      </c>
      <c r="N126" s="14">
        <f aca="true" t="shared" si="81" ref="N126:N134">IF(E126=0,0,(E126*K126-(G126*3412*1000/10^6)))</f>
        <v>2285.217740495238</v>
      </c>
      <c r="O126" s="15">
        <f aca="true" t="shared" si="82" ref="O126:O134">N126/(K126-(G126*3412*1000/10^6))</f>
        <v>0.49368437883067745</v>
      </c>
      <c r="P126" s="24">
        <f aca="true" t="shared" si="83" ref="P126:P134">(N126/0.8)*L126</f>
        <v>151.88907459268918</v>
      </c>
      <c r="Q126" s="25">
        <f aca="true" t="shared" si="84" ref="Q126:Q134">(P126+J126)-M126</f>
        <v>-5.357409107604724</v>
      </c>
    </row>
    <row r="127" spans="2:17" ht="12.75">
      <c r="B127">
        <v>3</v>
      </c>
      <c r="C127">
        <f aca="true" t="shared" si="85" ref="C127:C134">C126</f>
        <v>0.065</v>
      </c>
      <c r="D127" s="28">
        <f aca="true" t="shared" si="86" ref="D127:D134">D126*(1-$B$5)</f>
        <v>0.24698520000000002</v>
      </c>
      <c r="E127" s="28">
        <f aca="true" t="shared" si="87" ref="E127:E134">E126</f>
        <v>0.62</v>
      </c>
      <c r="F127" s="14">
        <f t="shared" si="76"/>
        <v>13814.592939172062</v>
      </c>
      <c r="G127" s="14">
        <f aca="true" t="shared" si="88" ref="G127:G134">K127/F127*1000</f>
        <v>446.45515200000006</v>
      </c>
      <c r="H127" s="14">
        <f t="shared" si="77"/>
        <v>37.76952478958782</v>
      </c>
      <c r="I127" s="14">
        <f t="shared" si="78"/>
        <v>484.2246767895879</v>
      </c>
      <c r="J127" s="18">
        <f t="shared" si="79"/>
        <v>168.99441219956617</v>
      </c>
      <c r="K127" s="14">
        <f aca="true" t="shared" si="89" ref="K127:K134">K126</f>
        <v>6167.596190476191</v>
      </c>
      <c r="L127" s="23">
        <f aca="true" t="shared" si="90" ref="L127:L134">L126</f>
        <v>0.053172727272727274</v>
      </c>
      <c r="M127" s="19">
        <f t="shared" si="80"/>
        <v>327.94791016450216</v>
      </c>
      <c r="N127" s="14">
        <f t="shared" si="81"/>
        <v>2300.604659471238</v>
      </c>
      <c r="O127" s="15">
        <f t="shared" si="82"/>
        <v>0.49536184414967666</v>
      </c>
      <c r="P127" s="24">
        <f t="shared" si="83"/>
        <v>152.91178015053717</v>
      </c>
      <c r="Q127" s="25">
        <f t="shared" si="84"/>
        <v>-6.041717814398851</v>
      </c>
    </row>
    <row r="128" spans="2:17" ht="12.75">
      <c r="B128">
        <v>4</v>
      </c>
      <c r="C128">
        <f t="shared" si="85"/>
        <v>0.065</v>
      </c>
      <c r="D128" s="28">
        <f t="shared" si="86"/>
        <v>0.24451534800000002</v>
      </c>
      <c r="E128" s="28">
        <f t="shared" si="87"/>
        <v>0.62</v>
      </c>
      <c r="F128" s="14">
        <f t="shared" si="76"/>
        <v>13954.134281991983</v>
      </c>
      <c r="G128" s="14">
        <f t="shared" si="88"/>
        <v>441.99060048000007</v>
      </c>
      <c r="H128" s="14">
        <f t="shared" si="77"/>
        <v>37.39182954169195</v>
      </c>
      <c r="I128" s="14">
        <f t="shared" si="78"/>
        <v>479.382430021692</v>
      </c>
      <c r="J128" s="18">
        <f t="shared" si="79"/>
        <v>167.30446807757053</v>
      </c>
      <c r="K128" s="14">
        <f t="shared" si="89"/>
        <v>6167.596190476191</v>
      </c>
      <c r="L128" s="23">
        <f t="shared" si="90"/>
        <v>0.053172727272727274</v>
      </c>
      <c r="M128" s="19">
        <f t="shared" si="80"/>
        <v>327.94791016450216</v>
      </c>
      <c r="N128" s="14">
        <f t="shared" si="81"/>
        <v>2315.8377092574783</v>
      </c>
      <c r="O128" s="15">
        <f t="shared" si="82"/>
        <v>0.49701162162060714</v>
      </c>
      <c r="P128" s="24">
        <f t="shared" si="83"/>
        <v>153.9242586528067</v>
      </c>
      <c r="Q128" s="25">
        <f t="shared" si="84"/>
        <v>-6.719183434124886</v>
      </c>
    </row>
    <row r="129" spans="2:17" ht="12.75">
      <c r="B129">
        <v>5</v>
      </c>
      <c r="C129">
        <f t="shared" si="85"/>
        <v>0.065</v>
      </c>
      <c r="D129" s="28">
        <f t="shared" si="86"/>
        <v>0.24207019452000003</v>
      </c>
      <c r="E129" s="28">
        <f t="shared" si="87"/>
        <v>0.62</v>
      </c>
      <c r="F129" s="14">
        <f t="shared" si="76"/>
        <v>14095.085133325234</v>
      </c>
      <c r="G129" s="14">
        <f t="shared" si="88"/>
        <v>437.57069447520007</v>
      </c>
      <c r="H129" s="14">
        <f t="shared" si="77"/>
        <v>37.01791124627505</v>
      </c>
      <c r="I129" s="14">
        <f t="shared" si="78"/>
        <v>474.5886057214751</v>
      </c>
      <c r="J129" s="18">
        <f t="shared" si="79"/>
        <v>165.63142339679482</v>
      </c>
      <c r="K129" s="14">
        <f t="shared" si="89"/>
        <v>6167.596190476191</v>
      </c>
      <c r="L129" s="23">
        <f t="shared" si="90"/>
        <v>0.053172727272727274</v>
      </c>
      <c r="M129" s="19">
        <f t="shared" si="80"/>
        <v>327.94791016450216</v>
      </c>
      <c r="N129" s="14">
        <f t="shared" si="81"/>
        <v>2330.918428545856</v>
      </c>
      <c r="O129" s="15">
        <f t="shared" si="82"/>
        <v>0.49863430986284485</v>
      </c>
      <c r="P129" s="24">
        <f t="shared" si="83"/>
        <v>154.92661237005353</v>
      </c>
      <c r="Q129" s="25">
        <f t="shared" si="84"/>
        <v>-7.389874397653841</v>
      </c>
    </row>
    <row r="130" spans="2:17" ht="12.75">
      <c r="B130">
        <v>6</v>
      </c>
      <c r="C130">
        <f t="shared" si="85"/>
        <v>0.065</v>
      </c>
      <c r="D130" s="28">
        <f t="shared" si="86"/>
        <v>0.23964949257480003</v>
      </c>
      <c r="E130" s="28">
        <f t="shared" si="87"/>
        <v>0.62</v>
      </c>
      <c r="F130" s="14">
        <f t="shared" si="76"/>
        <v>14237.45973063155</v>
      </c>
      <c r="G130" s="14">
        <f t="shared" si="88"/>
        <v>433.19498753044803</v>
      </c>
      <c r="H130" s="14">
        <f t="shared" si="77"/>
        <v>36.64773213381227</v>
      </c>
      <c r="I130" s="14">
        <f t="shared" si="78"/>
        <v>469.8427196642603</v>
      </c>
      <c r="J130" s="18">
        <f t="shared" si="79"/>
        <v>163.97510916282684</v>
      </c>
      <c r="K130" s="14">
        <f t="shared" si="89"/>
        <v>6167.596190476191</v>
      </c>
      <c r="L130" s="23">
        <f t="shared" si="90"/>
        <v>0.053172727272727274</v>
      </c>
      <c r="M130" s="19">
        <f t="shared" si="80"/>
        <v>327.94791016450216</v>
      </c>
      <c r="N130" s="14">
        <f t="shared" si="81"/>
        <v>2345.8483406413498</v>
      </c>
      <c r="O130" s="15">
        <f t="shared" si="82"/>
        <v>0.5002304906893448</v>
      </c>
      <c r="P130" s="24">
        <f t="shared" si="83"/>
        <v>155.9189425501279</v>
      </c>
      <c r="Q130" s="25">
        <f t="shared" si="84"/>
        <v>-8.053858451547455</v>
      </c>
    </row>
    <row r="131" spans="2:17" ht="12.75">
      <c r="B131">
        <v>7</v>
      </c>
      <c r="C131">
        <f t="shared" si="85"/>
        <v>0.065</v>
      </c>
      <c r="D131" s="28">
        <f t="shared" si="86"/>
        <v>0.23725299764905203</v>
      </c>
      <c r="E131" s="28">
        <f t="shared" si="87"/>
        <v>0.62</v>
      </c>
      <c r="F131" s="14">
        <f t="shared" si="76"/>
        <v>14381.272455183383</v>
      </c>
      <c r="G131" s="14">
        <f t="shared" si="88"/>
        <v>428.8630376551436</v>
      </c>
      <c r="H131" s="14">
        <f t="shared" si="77"/>
        <v>36.281254812474174</v>
      </c>
      <c r="I131" s="14">
        <f t="shared" si="78"/>
        <v>465.1442924676178</v>
      </c>
      <c r="J131" s="18">
        <f t="shared" si="79"/>
        <v>162.3353580711986</v>
      </c>
      <c r="K131" s="14">
        <f t="shared" si="89"/>
        <v>6167.596190476191</v>
      </c>
      <c r="L131" s="23">
        <f t="shared" si="90"/>
        <v>0.053172727272727274</v>
      </c>
      <c r="M131" s="19">
        <f t="shared" si="80"/>
        <v>327.94791016450216</v>
      </c>
      <c r="N131" s="14">
        <f t="shared" si="81"/>
        <v>2360.6289536158883</v>
      </c>
      <c r="O131" s="15">
        <f t="shared" si="82"/>
        <v>0.5018007296931232</v>
      </c>
      <c r="P131" s="24">
        <f t="shared" si="83"/>
        <v>156.9013494284015</v>
      </c>
      <c r="Q131" s="25">
        <f t="shared" si="84"/>
        <v>-8.711202664902032</v>
      </c>
    </row>
    <row r="132" spans="2:17" ht="12.75">
      <c r="B132">
        <v>8</v>
      </c>
      <c r="C132">
        <f t="shared" si="85"/>
        <v>0.065</v>
      </c>
      <c r="D132" s="28">
        <f t="shared" si="86"/>
        <v>0.23488046767256152</v>
      </c>
      <c r="E132" s="28">
        <f t="shared" si="87"/>
        <v>0.62</v>
      </c>
      <c r="F132" s="14">
        <f t="shared" si="76"/>
        <v>14526.537833518569</v>
      </c>
      <c r="G132" s="14">
        <f t="shared" si="88"/>
        <v>424.5744072785922</v>
      </c>
      <c r="H132" s="14">
        <f t="shared" si="77"/>
        <v>35.91844226434944</v>
      </c>
      <c r="I132" s="14">
        <f t="shared" si="78"/>
        <v>460.49284954294166</v>
      </c>
      <c r="J132" s="18">
        <f t="shared" si="79"/>
        <v>160.71200449048663</v>
      </c>
      <c r="K132" s="14">
        <f t="shared" si="89"/>
        <v>6167.596190476191</v>
      </c>
      <c r="L132" s="23">
        <f t="shared" si="90"/>
        <v>0.053172727272727274</v>
      </c>
      <c r="M132" s="19">
        <f t="shared" si="80"/>
        <v>327.94791016450216</v>
      </c>
      <c r="N132" s="14">
        <f t="shared" si="81"/>
        <v>2375.261760460681</v>
      </c>
      <c r="O132" s="15">
        <f t="shared" si="82"/>
        <v>0.5033455768093288</v>
      </c>
      <c r="P132" s="24">
        <f t="shared" si="83"/>
        <v>157.87393223789232</v>
      </c>
      <c r="Q132" s="25">
        <f t="shared" si="84"/>
        <v>-9.361973436123208</v>
      </c>
    </row>
    <row r="133" spans="2:17" ht="12.75">
      <c r="B133">
        <v>9</v>
      </c>
      <c r="C133">
        <f t="shared" si="85"/>
        <v>0.065</v>
      </c>
      <c r="D133" s="28">
        <f t="shared" si="86"/>
        <v>0.23253166299583589</v>
      </c>
      <c r="E133" s="28">
        <f t="shared" si="87"/>
        <v>0.62</v>
      </c>
      <c r="F133" s="14">
        <f t="shared" si="76"/>
        <v>14673.270538907645</v>
      </c>
      <c r="G133" s="14">
        <f t="shared" si="88"/>
        <v>420.32866320580627</v>
      </c>
      <c r="H133" s="14">
        <f t="shared" si="77"/>
        <v>35.559257841705914</v>
      </c>
      <c r="I133" s="14">
        <f t="shared" si="78"/>
        <v>455.8879210475122</v>
      </c>
      <c r="J133" s="18">
        <f t="shared" si="79"/>
        <v>159.10488444558175</v>
      </c>
      <c r="K133" s="14">
        <f t="shared" si="89"/>
        <v>6167.596190476191</v>
      </c>
      <c r="L133" s="23">
        <f t="shared" si="90"/>
        <v>0.053172727272727274</v>
      </c>
      <c r="M133" s="19">
        <f t="shared" si="80"/>
        <v>327.94791016450216</v>
      </c>
      <c r="N133" s="14">
        <f t="shared" si="81"/>
        <v>2389.7482392370275</v>
      </c>
      <c r="O133" s="15">
        <f t="shared" si="82"/>
        <v>0.5048655668540784</v>
      </c>
      <c r="P133" s="24">
        <f t="shared" si="83"/>
        <v>158.83678921928833</v>
      </c>
      <c r="Q133" s="25">
        <f t="shared" si="84"/>
        <v>-10.006236499632053</v>
      </c>
    </row>
    <row r="134" spans="2:17" ht="12.75">
      <c r="B134">
        <v>10</v>
      </c>
      <c r="C134">
        <f t="shared" si="85"/>
        <v>0.065</v>
      </c>
      <c r="D134" s="28">
        <f t="shared" si="86"/>
        <v>0.23020634636587753</v>
      </c>
      <c r="E134" s="28">
        <f t="shared" si="87"/>
        <v>0.62</v>
      </c>
      <c r="F134" s="14">
        <f t="shared" si="76"/>
        <v>14821.485392836006</v>
      </c>
      <c r="G134" s="14">
        <f t="shared" si="88"/>
        <v>416.12537657374816</v>
      </c>
      <c r="H134" s="14">
        <f t="shared" si="77"/>
        <v>35.20366526328888</v>
      </c>
      <c r="I134" s="14">
        <f t="shared" si="78"/>
        <v>451.32904183703704</v>
      </c>
      <c r="J134" s="18">
        <f t="shared" si="79"/>
        <v>157.51383560112592</v>
      </c>
      <c r="K134" s="14">
        <f t="shared" si="89"/>
        <v>6167.596190476191</v>
      </c>
      <c r="L134" s="23">
        <f t="shared" si="90"/>
        <v>0.053172727272727274</v>
      </c>
      <c r="M134" s="19">
        <f t="shared" si="80"/>
        <v>327.94791016450216</v>
      </c>
      <c r="N134" s="14">
        <f t="shared" si="81"/>
        <v>2404.0898532256097</v>
      </c>
      <c r="O134" s="15">
        <f t="shared" si="82"/>
        <v>0.5063612200411679</v>
      </c>
      <c r="P134" s="24">
        <f t="shared" si="83"/>
        <v>159.79001763087035</v>
      </c>
      <c r="Q134" s="25">
        <f t="shared" si="84"/>
        <v>-10.644056932505862</v>
      </c>
    </row>
    <row r="136" spans="1:17" ht="12.75">
      <c r="A136" s="30" t="s">
        <v>73</v>
      </c>
      <c r="C136" s="36">
        <f>SUM(C125:C134)/10</f>
        <v>0.06499999999999999</v>
      </c>
      <c r="D136" s="37">
        <f>SUM(D125:D134)/10</f>
        <v>0.24095717097781275</v>
      </c>
      <c r="E136" s="37">
        <f>E125</f>
        <v>0.62</v>
      </c>
      <c r="F136" s="38">
        <f>SUM(F125:F134)/10</f>
        <v>14171.99678550293</v>
      </c>
      <c r="G136" s="35">
        <f>SUM(G125:G134)</f>
        <v>4355.587719198938</v>
      </c>
      <c r="H136" s="35">
        <f>SUM(H125:H134)</f>
        <v>368.47705216650434</v>
      </c>
      <c r="I136" s="35">
        <f>SUM(I125:I134)</f>
        <v>4724.0647713654425</v>
      </c>
      <c r="J136" s="35">
        <f>SUM(J125:J134)</f>
        <v>1648.6986052065395</v>
      </c>
      <c r="K136" s="35">
        <f>SUM(K125:K134)</f>
        <v>61675.96190476192</v>
      </c>
      <c r="L136" s="39">
        <f>SUM(L125:L134)/10</f>
        <v>0.053172727272727274</v>
      </c>
      <c r="M136" s="35">
        <f>SUM(M125:M134)</f>
        <v>3279.4791016450213</v>
      </c>
      <c r="N136" s="35">
        <f>SUM(N125:N134)</f>
        <v>23377.831083045603</v>
      </c>
      <c r="O136" s="37">
        <f>SUM(O125:O134)/10</f>
        <v>0.4993274348176516</v>
      </c>
      <c r="P136" s="35">
        <f>SUM(P125:P134)</f>
        <v>1553.8287955083383</v>
      </c>
      <c r="Q136" s="63">
        <f>SUM(Q125:Q134)</f>
        <v>-76.951700930144</v>
      </c>
    </row>
    <row r="137" spans="1:17" ht="12.75">
      <c r="A137" s="30" t="s">
        <v>74</v>
      </c>
      <c r="C137" s="30">
        <v>1</v>
      </c>
      <c r="D137" s="37">
        <f>D136</f>
        <v>0.24095717097781275</v>
      </c>
      <c r="E137" s="37">
        <f>E125</f>
        <v>0.62</v>
      </c>
      <c r="F137" s="40">
        <f>F136</f>
        <v>14171.99678550293</v>
      </c>
      <c r="G137" s="35">
        <f>G136*($C137/$C136)</f>
        <v>67009.04183382983</v>
      </c>
      <c r="H137" s="35">
        <f>H136*($C137/$C136)</f>
        <v>5668.877725638529</v>
      </c>
      <c r="I137" s="35">
        <f>I136*($C137/$C136)</f>
        <v>72677.91955946836</v>
      </c>
      <c r="J137" s="35">
        <f>J136*($C137/$C136)</f>
        <v>25364.593926254456</v>
      </c>
      <c r="K137" s="35">
        <f>K136*($C137/$C136)</f>
        <v>948860.9523809528</v>
      </c>
      <c r="L137" s="41">
        <f>L136</f>
        <v>0.053172727272727274</v>
      </c>
      <c r="M137" s="35">
        <f>M136*($C137/$C136)</f>
        <v>50453.524640692645</v>
      </c>
      <c r="N137" s="35">
        <f>N136*($C137/$C136)</f>
        <v>359658.93973916315</v>
      </c>
      <c r="O137" s="37">
        <f>O136</f>
        <v>0.4993274348176516</v>
      </c>
      <c r="P137" s="35">
        <f>P136*($C137/$C136)</f>
        <v>23905.058392435978</v>
      </c>
      <c r="Q137" s="63">
        <f>Q136*($C137/$C136)</f>
        <v>-1183.8723220022155</v>
      </c>
    </row>
    <row r="138" ht="12.75">
      <c r="A138" s="70" t="s">
        <v>104</v>
      </c>
    </row>
    <row r="139" ht="12.75">
      <c r="A139" s="70" t="s">
        <v>112</v>
      </c>
    </row>
    <row r="142" ht="12.75">
      <c r="A142" s="86" t="str">
        <f>A145</f>
        <v>Combustion CHP Average</v>
      </c>
    </row>
    <row r="143" spans="1:17" ht="39">
      <c r="A143" s="71"/>
      <c r="B143" s="3"/>
      <c r="C143" s="4" t="s">
        <v>3</v>
      </c>
      <c r="D143" s="4" t="s">
        <v>106</v>
      </c>
      <c r="E143" s="4" t="s">
        <v>98</v>
      </c>
      <c r="F143" s="6" t="s">
        <v>21</v>
      </c>
      <c r="G143" s="6" t="s">
        <v>28</v>
      </c>
      <c r="H143" s="11" t="s">
        <v>14</v>
      </c>
      <c r="I143" s="11" t="s">
        <v>17</v>
      </c>
      <c r="J143" s="12" t="s">
        <v>27</v>
      </c>
      <c r="K143" s="5" t="s">
        <v>5</v>
      </c>
      <c r="L143" s="5" t="s">
        <v>19</v>
      </c>
      <c r="M143" s="16" t="s">
        <v>29</v>
      </c>
      <c r="N143" s="5" t="s">
        <v>35</v>
      </c>
      <c r="O143" s="5" t="s">
        <v>18</v>
      </c>
      <c r="P143" s="22" t="s">
        <v>30</v>
      </c>
      <c r="Q143" s="21" t="s">
        <v>31</v>
      </c>
    </row>
    <row r="144" spans="1:17" ht="26.25" thickBot="1">
      <c r="A144" s="78" t="s">
        <v>8</v>
      </c>
      <c r="B144" s="3" t="s">
        <v>32</v>
      </c>
      <c r="C144" s="4" t="s">
        <v>4</v>
      </c>
      <c r="D144" s="4" t="s">
        <v>2</v>
      </c>
      <c r="E144" s="4" t="s">
        <v>2</v>
      </c>
      <c r="F144" s="6" t="s">
        <v>11</v>
      </c>
      <c r="G144" s="6" t="s">
        <v>1</v>
      </c>
      <c r="H144" s="6" t="s">
        <v>1</v>
      </c>
      <c r="I144" s="6" t="s">
        <v>1</v>
      </c>
      <c r="J144" s="22" t="s">
        <v>13</v>
      </c>
      <c r="K144" s="4" t="s">
        <v>0</v>
      </c>
      <c r="L144" s="4" t="s">
        <v>20</v>
      </c>
      <c r="M144" s="17" t="s">
        <v>13</v>
      </c>
      <c r="N144" s="4" t="s">
        <v>0</v>
      </c>
      <c r="O144" s="4" t="s">
        <v>0</v>
      </c>
      <c r="P144" s="22" t="s">
        <v>13</v>
      </c>
      <c r="Q144" s="21" t="s">
        <v>13</v>
      </c>
    </row>
    <row r="145" spans="1:17" ht="13.5" thickBot="1">
      <c r="A145" s="79" t="s">
        <v>96</v>
      </c>
      <c r="B145">
        <v>1</v>
      </c>
      <c r="C145">
        <f>VLOOKUP(A145,$A$8:$E$14,2,FALSE)</f>
        <v>2.74125</v>
      </c>
      <c r="D145" s="28">
        <f>VLOOKUP(A145,$A$8:$E$14,3,FALSE)</f>
        <v>0.29397902416780664</v>
      </c>
      <c r="E145" s="28">
        <f>VLOOKUP(A145,$A$8:$E$14,4,FALSE)</f>
        <v>0.6200000000000001</v>
      </c>
      <c r="F145" s="14">
        <f>3412/D145</f>
        <v>11606.270242098602</v>
      </c>
      <c r="G145" s="14">
        <f>C145*8760*$B$4</f>
        <v>19210.68</v>
      </c>
      <c r="H145" s="14">
        <f>G145/(1-$B$19)-G145</f>
        <v>1625.1985249457684</v>
      </c>
      <c r="I145" s="14">
        <f>H145+G145</f>
        <v>20835.87852494577</v>
      </c>
      <c r="J145" s="18">
        <f>(I145)*$B$18/1000</f>
        <v>7271.721605206073</v>
      </c>
      <c r="K145" s="14">
        <f>F145*G145*1000/10^6</f>
        <v>222964.3436144788</v>
      </c>
      <c r="L145" s="23">
        <f>'Standard Assumptions'!$B$12</f>
        <v>0.053172727272727274</v>
      </c>
      <c r="M145" s="19">
        <f>K145*L145</f>
        <v>11855.622234555332</v>
      </c>
      <c r="N145" s="14">
        <f>IF(E145=0,0,(E145*K145-(G145*3412*1000/10^6)))</f>
        <v>72691.05288097686</v>
      </c>
      <c r="O145" s="15">
        <f>N145/(K145-(G145*3412*1000/10^6))</f>
        <v>0.461772365116928</v>
      </c>
      <c r="P145" s="24">
        <f>(N145/0.8)*L145</f>
        <v>4831.476912509473</v>
      </c>
      <c r="Q145" s="25">
        <f>(P145+J145)-M145</f>
        <v>247.57628316021328</v>
      </c>
    </row>
    <row r="146" spans="2:17" ht="12.75">
      <c r="B146">
        <v>2</v>
      </c>
      <c r="C146">
        <f>C145</f>
        <v>2.74125</v>
      </c>
      <c r="D146" s="28">
        <f>D145*(1-$B$5)</f>
        <v>0.29103923392612857</v>
      </c>
      <c r="E146" s="28">
        <f>E145</f>
        <v>0.6200000000000001</v>
      </c>
      <c r="F146" s="14">
        <f aca="true" t="shared" si="91" ref="F146:F154">3412/D146</f>
        <v>11723.505295049094</v>
      </c>
      <c r="G146" s="14">
        <f>K146/F146*1000</f>
        <v>19018.573200000003</v>
      </c>
      <c r="H146" s="14">
        <f aca="true" t="shared" si="92" ref="H146:H154">G146/(1-$B$19)-G146</f>
        <v>1608.9465396963133</v>
      </c>
      <c r="I146" s="14">
        <f aca="true" t="shared" si="93" ref="I146:I154">H146+G146</f>
        <v>20627.519739696316</v>
      </c>
      <c r="J146" s="18">
        <f aca="true" t="shared" si="94" ref="J146:J154">(I146)*$B$18/1000</f>
        <v>7199.0043891540145</v>
      </c>
      <c r="K146" s="14">
        <f>K145</f>
        <v>222964.3436144788</v>
      </c>
      <c r="L146" s="23">
        <f>L145</f>
        <v>0.053172727272727274</v>
      </c>
      <c r="M146" s="19">
        <f aca="true" t="shared" si="95" ref="M146:M154">K146*L146</f>
        <v>11855.622234555332</v>
      </c>
      <c r="N146" s="14">
        <f aca="true" t="shared" si="96" ref="N146:N154">IF(E146=0,0,(E146*K146-(G146*3412*1000/10^6)))</f>
        <v>73346.52128257685</v>
      </c>
      <c r="O146" s="15">
        <f aca="true" t="shared" si="97" ref="O146:O154">N146/(K146-(G146*3412*1000/10^6))</f>
        <v>0.46400419009871535</v>
      </c>
      <c r="P146" s="24">
        <f aca="true" t="shared" si="98" ref="P146:P154">(N146/0.8)*L146</f>
        <v>4875.043215702182</v>
      </c>
      <c r="Q146" s="25">
        <f aca="true" t="shared" si="99" ref="Q146:Q154">(P146+J146)-M146</f>
        <v>218.42537030086532</v>
      </c>
    </row>
    <row r="147" spans="2:17" ht="12.75">
      <c r="B147">
        <v>3</v>
      </c>
      <c r="C147">
        <f aca="true" t="shared" si="100" ref="C147:C154">C146</f>
        <v>2.74125</v>
      </c>
      <c r="D147" s="28">
        <f aca="true" t="shared" si="101" ref="D147:D154">D146*(1-$B$5)</f>
        <v>0.2881288415868673</v>
      </c>
      <c r="E147" s="28">
        <f aca="true" t="shared" si="102" ref="E147:E154">E146</f>
        <v>0.6200000000000001</v>
      </c>
      <c r="F147" s="14">
        <f t="shared" si="91"/>
        <v>11841.924540453629</v>
      </c>
      <c r="G147" s="14">
        <f aca="true" t="shared" si="103" ref="G147:G154">K147/F147*1000</f>
        <v>18828.387468</v>
      </c>
      <c r="H147" s="14">
        <f t="shared" si="92"/>
        <v>1592.857074299347</v>
      </c>
      <c r="I147" s="14">
        <f t="shared" si="93"/>
        <v>20421.244542299348</v>
      </c>
      <c r="J147" s="18">
        <f t="shared" si="94"/>
        <v>7127.0143452624725</v>
      </c>
      <c r="K147" s="14">
        <f aca="true" t="shared" si="104" ref="K147:K154">K146</f>
        <v>222964.3436144788</v>
      </c>
      <c r="L147" s="23">
        <f aca="true" t="shared" si="105" ref="L147:L154">L146</f>
        <v>0.053172727272727274</v>
      </c>
      <c r="M147" s="19">
        <f t="shared" si="95"/>
        <v>11855.622234555332</v>
      </c>
      <c r="N147" s="14">
        <f t="shared" si="96"/>
        <v>73995.43500016085</v>
      </c>
      <c r="O147" s="15">
        <f t="shared" si="97"/>
        <v>0.4661955390255214</v>
      </c>
      <c r="P147" s="24">
        <f t="shared" si="98"/>
        <v>4918.173855862964</v>
      </c>
      <c r="Q147" s="25">
        <f t="shared" si="99"/>
        <v>189.56596657010414</v>
      </c>
    </row>
    <row r="148" spans="2:17" ht="12.75">
      <c r="B148">
        <v>4</v>
      </c>
      <c r="C148">
        <f t="shared" si="100"/>
        <v>2.74125</v>
      </c>
      <c r="D148" s="28">
        <f t="shared" si="101"/>
        <v>0.28524755317099865</v>
      </c>
      <c r="E148" s="28">
        <f t="shared" si="102"/>
        <v>0.6200000000000001</v>
      </c>
      <c r="F148" s="14">
        <f t="shared" si="91"/>
        <v>11961.53993985215</v>
      </c>
      <c r="G148" s="14">
        <f t="shared" si="103"/>
        <v>18640.103593320004</v>
      </c>
      <c r="H148" s="14">
        <f t="shared" si="92"/>
        <v>1576.9285035563553</v>
      </c>
      <c r="I148" s="14">
        <f t="shared" si="93"/>
        <v>20217.03209687636</v>
      </c>
      <c r="J148" s="18">
        <f t="shared" si="94"/>
        <v>7055.74420180985</v>
      </c>
      <c r="K148" s="14">
        <f t="shared" si="104"/>
        <v>222964.3436144788</v>
      </c>
      <c r="L148" s="23">
        <f t="shared" si="105"/>
        <v>0.053172727272727274</v>
      </c>
      <c r="M148" s="19">
        <f t="shared" si="95"/>
        <v>11855.622234555332</v>
      </c>
      <c r="N148" s="14">
        <f t="shared" si="96"/>
        <v>74637.85958056901</v>
      </c>
      <c r="O148" s="15">
        <f t="shared" si="97"/>
        <v>0.46834739540120546</v>
      </c>
      <c r="P148" s="24">
        <f t="shared" si="98"/>
        <v>4960.873189622138</v>
      </c>
      <c r="Q148" s="25">
        <f t="shared" si="99"/>
        <v>160.99515687665553</v>
      </c>
    </row>
    <row r="149" spans="2:17" ht="12.75">
      <c r="B149">
        <v>5</v>
      </c>
      <c r="C149">
        <f t="shared" si="100"/>
        <v>2.74125</v>
      </c>
      <c r="D149" s="28">
        <f t="shared" si="101"/>
        <v>0.28239507763928867</v>
      </c>
      <c r="E149" s="28">
        <f t="shared" si="102"/>
        <v>0.6200000000000001</v>
      </c>
      <c r="F149" s="14">
        <f t="shared" si="91"/>
        <v>12082.363575608231</v>
      </c>
      <c r="G149" s="14">
        <f t="shared" si="103"/>
        <v>18453.702557386805</v>
      </c>
      <c r="H149" s="14">
        <f t="shared" si="92"/>
        <v>1561.159218520792</v>
      </c>
      <c r="I149" s="14">
        <f t="shared" si="93"/>
        <v>20014.861775907597</v>
      </c>
      <c r="J149" s="18">
        <f t="shared" si="94"/>
        <v>6985.186759791752</v>
      </c>
      <c r="K149" s="14">
        <f t="shared" si="104"/>
        <v>222964.3436144788</v>
      </c>
      <c r="L149" s="23">
        <f t="shared" si="105"/>
        <v>0.053172727272727274</v>
      </c>
      <c r="M149" s="19">
        <f t="shared" si="95"/>
        <v>11855.622234555332</v>
      </c>
      <c r="N149" s="14">
        <f t="shared" si="96"/>
        <v>75273.85991517309</v>
      </c>
      <c r="O149" s="15">
        <f t="shared" si="97"/>
        <v>0.47046071151531327</v>
      </c>
      <c r="P149" s="24">
        <f t="shared" si="98"/>
        <v>5003.14553004372</v>
      </c>
      <c r="Q149" s="25">
        <f t="shared" si="99"/>
        <v>132.71005528013848</v>
      </c>
    </row>
    <row r="150" spans="2:17" ht="12.75">
      <c r="B150">
        <v>6</v>
      </c>
      <c r="C150">
        <f t="shared" si="100"/>
        <v>2.74125</v>
      </c>
      <c r="D150" s="28">
        <f t="shared" si="101"/>
        <v>0.27957112686289576</v>
      </c>
      <c r="E150" s="28">
        <f t="shared" si="102"/>
        <v>0.6200000000000001</v>
      </c>
      <c r="F150" s="14">
        <f t="shared" si="91"/>
        <v>12204.407652129528</v>
      </c>
      <c r="G150" s="14">
        <f t="shared" si="103"/>
        <v>18269.165531812934</v>
      </c>
      <c r="H150" s="14">
        <f t="shared" si="92"/>
        <v>1545.547626335585</v>
      </c>
      <c r="I150" s="14">
        <f t="shared" si="93"/>
        <v>19814.71315814852</v>
      </c>
      <c r="J150" s="18">
        <f t="shared" si="94"/>
        <v>6915.334892193833</v>
      </c>
      <c r="K150" s="14">
        <f t="shared" si="104"/>
        <v>222964.3436144788</v>
      </c>
      <c r="L150" s="23">
        <f t="shared" si="105"/>
        <v>0.053172727272727274</v>
      </c>
      <c r="M150" s="19">
        <f t="shared" si="95"/>
        <v>11855.622234555332</v>
      </c>
      <c r="N150" s="14">
        <f t="shared" si="96"/>
        <v>75903.50024643113</v>
      </c>
      <c r="O150" s="15">
        <f t="shared" si="97"/>
        <v>0.472536409673183</v>
      </c>
      <c r="P150" s="24">
        <f t="shared" si="98"/>
        <v>5044.995147061087</v>
      </c>
      <c r="Q150" s="25">
        <f t="shared" si="99"/>
        <v>104.70780469958845</v>
      </c>
    </row>
    <row r="151" spans="2:17" ht="12.75">
      <c r="B151">
        <v>7</v>
      </c>
      <c r="C151">
        <f t="shared" si="100"/>
        <v>2.74125</v>
      </c>
      <c r="D151" s="28">
        <f t="shared" si="101"/>
        <v>0.27677541559426677</v>
      </c>
      <c r="E151" s="28">
        <f t="shared" si="102"/>
        <v>0.6200000000000001</v>
      </c>
      <c r="F151" s="14">
        <f t="shared" si="91"/>
        <v>12327.684497100534</v>
      </c>
      <c r="G151" s="14">
        <f t="shared" si="103"/>
        <v>18086.473876494805</v>
      </c>
      <c r="H151" s="14">
        <f t="shared" si="92"/>
        <v>1530.0921500722288</v>
      </c>
      <c r="I151" s="14">
        <f t="shared" si="93"/>
        <v>19616.566026567034</v>
      </c>
      <c r="J151" s="18">
        <f t="shared" si="94"/>
        <v>6846.181543271895</v>
      </c>
      <c r="K151" s="14">
        <f t="shared" si="104"/>
        <v>222964.3436144788</v>
      </c>
      <c r="L151" s="23">
        <f t="shared" si="105"/>
        <v>0.053172727272727274</v>
      </c>
      <c r="M151" s="19">
        <f t="shared" si="95"/>
        <v>11855.622234555332</v>
      </c>
      <c r="N151" s="14">
        <f t="shared" si="96"/>
        <v>76526.8441743766</v>
      </c>
      <c r="O151" s="15">
        <f t="shared" si="97"/>
        <v>0.4745753833683041</v>
      </c>
      <c r="P151" s="24">
        <f t="shared" si="98"/>
        <v>5086.426267908281</v>
      </c>
      <c r="Q151" s="25">
        <f t="shared" si="99"/>
        <v>76.98557662484382</v>
      </c>
    </row>
    <row r="152" spans="2:17" ht="12.75">
      <c r="B152">
        <v>8</v>
      </c>
      <c r="C152">
        <f t="shared" si="100"/>
        <v>2.74125</v>
      </c>
      <c r="D152" s="28">
        <f t="shared" si="101"/>
        <v>0.2740076614383241</v>
      </c>
      <c r="E152" s="28">
        <f t="shared" si="102"/>
        <v>0.6200000000000001</v>
      </c>
      <c r="F152" s="14">
        <f t="shared" si="91"/>
        <v>12452.206562727812</v>
      </c>
      <c r="G152" s="14">
        <f t="shared" si="103"/>
        <v>17905.609137729858</v>
      </c>
      <c r="H152" s="14">
        <f t="shared" si="92"/>
        <v>1514.7912285715065</v>
      </c>
      <c r="I152" s="14">
        <f t="shared" si="93"/>
        <v>19420.400366301365</v>
      </c>
      <c r="J152" s="18">
        <f t="shared" si="94"/>
        <v>6777.719727839177</v>
      </c>
      <c r="K152" s="14">
        <f t="shared" si="104"/>
        <v>222964.3436144788</v>
      </c>
      <c r="L152" s="23">
        <f t="shared" si="105"/>
        <v>0.053172727272727274</v>
      </c>
      <c r="M152" s="19">
        <f t="shared" si="95"/>
        <v>11855.622234555332</v>
      </c>
      <c r="N152" s="14">
        <f t="shared" si="96"/>
        <v>77143.95466304259</v>
      </c>
      <c r="O152" s="15">
        <f t="shared" si="97"/>
        <v>0.4765784984000661</v>
      </c>
      <c r="P152" s="24">
        <f t="shared" si="98"/>
        <v>5127.443077547001</v>
      </c>
      <c r="Q152" s="25">
        <f t="shared" si="99"/>
        <v>49.540570830846264</v>
      </c>
    </row>
    <row r="153" spans="2:17" ht="12.75">
      <c r="B153">
        <v>9</v>
      </c>
      <c r="C153">
        <f t="shared" si="100"/>
        <v>2.74125</v>
      </c>
      <c r="D153" s="28">
        <f t="shared" si="101"/>
        <v>0.27126758482394087</v>
      </c>
      <c r="E153" s="28">
        <f t="shared" si="102"/>
        <v>0.6200000000000001</v>
      </c>
      <c r="F153" s="14">
        <f t="shared" si="91"/>
        <v>12577.98642699779</v>
      </c>
      <c r="G153" s="14">
        <f t="shared" si="103"/>
        <v>17726.553046352557</v>
      </c>
      <c r="H153" s="14">
        <f t="shared" si="92"/>
        <v>1499.6433162857902</v>
      </c>
      <c r="I153" s="14">
        <f t="shared" si="93"/>
        <v>19226.196362638348</v>
      </c>
      <c r="J153" s="18">
        <f t="shared" si="94"/>
        <v>6709.942530560783</v>
      </c>
      <c r="K153" s="14">
        <f t="shared" si="104"/>
        <v>222964.3436144788</v>
      </c>
      <c r="L153" s="23">
        <f t="shared" si="105"/>
        <v>0.053172727272727274</v>
      </c>
      <c r="M153" s="19">
        <f t="shared" si="95"/>
        <v>11855.622234555332</v>
      </c>
      <c r="N153" s="14">
        <f t="shared" si="96"/>
        <v>77754.89404682195</v>
      </c>
      <c r="O153" s="15">
        <f t="shared" si="97"/>
        <v>0.4785465939398438</v>
      </c>
      <c r="P153" s="24">
        <f t="shared" si="98"/>
        <v>5168.049719089336</v>
      </c>
      <c r="Q153" s="25">
        <f t="shared" si="99"/>
        <v>22.37001509478614</v>
      </c>
    </row>
    <row r="154" spans="2:17" ht="12.75">
      <c r="B154">
        <v>10</v>
      </c>
      <c r="C154">
        <f t="shared" si="100"/>
        <v>2.74125</v>
      </c>
      <c r="D154" s="28">
        <f t="shared" si="101"/>
        <v>0.26855490897570145</v>
      </c>
      <c r="E154" s="28">
        <f t="shared" si="102"/>
        <v>0.6200000000000001</v>
      </c>
      <c r="F154" s="14">
        <f t="shared" si="91"/>
        <v>12705.036794947264</v>
      </c>
      <c r="G154" s="14">
        <f t="shared" si="103"/>
        <v>17549.28751588903</v>
      </c>
      <c r="H154" s="14">
        <f t="shared" si="92"/>
        <v>1484.6468831229322</v>
      </c>
      <c r="I154" s="14">
        <f t="shared" si="93"/>
        <v>19033.934399011963</v>
      </c>
      <c r="J154" s="18">
        <f t="shared" si="94"/>
        <v>6642.843105255175</v>
      </c>
      <c r="K154" s="14">
        <f t="shared" si="104"/>
        <v>222964.3436144788</v>
      </c>
      <c r="L154" s="23">
        <f t="shared" si="105"/>
        <v>0.053172727272727274</v>
      </c>
      <c r="M154" s="19">
        <f t="shared" si="95"/>
        <v>11855.622234555332</v>
      </c>
      <c r="N154" s="14">
        <f t="shared" si="96"/>
        <v>78359.7240367635</v>
      </c>
      <c r="O154" s="15">
        <f t="shared" si="97"/>
        <v>0.48048048354818157</v>
      </c>
      <c r="P154" s="24">
        <f t="shared" si="98"/>
        <v>5208.250294216246</v>
      </c>
      <c r="Q154" s="25">
        <f t="shared" si="99"/>
        <v>-4.528835083910963</v>
      </c>
    </row>
    <row r="156" spans="1:17" ht="12.75">
      <c r="A156" s="30" t="s">
        <v>73</v>
      </c>
      <c r="C156" s="36">
        <f>SUM(C145:C154)/10</f>
        <v>2.7412500000000004</v>
      </c>
      <c r="D156" s="37">
        <f>SUM(D145:D154)/10</f>
        <v>0.28109664281862184</v>
      </c>
      <c r="E156" s="37">
        <f>E145</f>
        <v>0.6200000000000001</v>
      </c>
      <c r="F156" s="38">
        <f>SUM(F145:F154)/10</f>
        <v>12148.292552696463</v>
      </c>
      <c r="G156" s="35">
        <f>SUM(G145:G154)</f>
        <v>183688.535926986</v>
      </c>
      <c r="H156" s="35">
        <f>SUM(H145:H154)</f>
        <v>15539.811065406619</v>
      </c>
      <c r="I156" s="35">
        <f>SUM(I145:I154)</f>
        <v>199228.34699239262</v>
      </c>
      <c r="J156" s="35">
        <f>SUM(J145:J154)</f>
        <v>69530.69310034502</v>
      </c>
      <c r="K156" s="35">
        <f>SUM(K145:K154)</f>
        <v>2229643.436144788</v>
      </c>
      <c r="L156" s="39">
        <f>SUM(L145:L154)/10</f>
        <v>0.053172727272727274</v>
      </c>
      <c r="M156" s="35">
        <f>SUM(M145:M154)</f>
        <v>118556.22234555334</v>
      </c>
      <c r="N156" s="35">
        <f>SUM(N145:N154)</f>
        <v>755633.6458268925</v>
      </c>
      <c r="O156" s="37">
        <f>SUM(O145:O154)/10</f>
        <v>0.4713497570087262</v>
      </c>
      <c r="P156" s="35">
        <f>SUM(P145:P154)</f>
        <v>50223.87720956243</v>
      </c>
      <c r="Q156" s="63">
        <f>SUM(Q145:Q154)</f>
        <v>1198.3479643541305</v>
      </c>
    </row>
    <row r="157" spans="1:17" ht="12.75">
      <c r="A157" s="30" t="s">
        <v>74</v>
      </c>
      <c r="C157" s="30">
        <v>1</v>
      </c>
      <c r="D157" s="37">
        <f>D156</f>
        <v>0.28109664281862184</v>
      </c>
      <c r="E157" s="37">
        <f>E145</f>
        <v>0.6200000000000001</v>
      </c>
      <c r="F157" s="40">
        <f>F156</f>
        <v>12148.292552696463</v>
      </c>
      <c r="G157" s="35">
        <f>G156*($C157/$C156)</f>
        <v>67009.0418338298</v>
      </c>
      <c r="H157" s="35">
        <f>H156*($C157/$C156)</f>
        <v>5668.877725638528</v>
      </c>
      <c r="I157" s="35">
        <f>I156*($C157/$C156)</f>
        <v>72677.91955946834</v>
      </c>
      <c r="J157" s="35">
        <f>J156*($C157/$C156)</f>
        <v>25364.59392625445</v>
      </c>
      <c r="K157" s="35">
        <f>K156*($C157/$C156)</f>
        <v>813367.4185662699</v>
      </c>
      <c r="L157" s="41">
        <f>L156</f>
        <v>0.053172727272727274</v>
      </c>
      <c r="M157" s="35">
        <f>M156*($C157/$C156)</f>
        <v>43248.963919946495</v>
      </c>
      <c r="N157" s="35">
        <f>N156*($C157/$C156)</f>
        <v>275652.9487740601</v>
      </c>
      <c r="O157" s="37">
        <f>O156</f>
        <v>0.4713497570087262</v>
      </c>
      <c r="P157" s="35">
        <f>P156*($C157/$C156)</f>
        <v>18321.5238338577</v>
      </c>
      <c r="Q157" s="63">
        <f>Q156*($C157/$C156)</f>
        <v>437.1538401656654</v>
      </c>
    </row>
  </sheetData>
  <sheetProtection/>
  <dataValidations count="1">
    <dataValidation type="list" allowBlank="1" showInputMessage="1" showErrorMessage="1" sqref="A25 A45 A105 A65 A85 A125 A145">
      <formula1>$A$8:$A$14</formula1>
    </dataValidation>
  </dataValidations>
  <printOptions/>
  <pageMargins left="0.75" right="0.75" top="1" bottom="1" header="0.5" footer="0.5"/>
  <pageSetup horizontalDpi="600" verticalDpi="600" orientation="landscape" scale="39" r:id="rId1"/>
  <headerFooter alignWithMargins="0">
    <oddHeader xml:space="preserve">&amp;CAppendix A: SGIP Staff Proposal GHG Analysis Workbook, Page &amp;P </oddHeader>
  </headerFooter>
  <rowBreaks count="3" manualBreakCount="3">
    <brk id="39" max="255" man="1"/>
    <brk id="78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14" width="12.7109375" style="0" customWidth="1"/>
  </cols>
  <sheetData>
    <row r="1" ht="12.75">
      <c r="A1" s="29" t="s">
        <v>90</v>
      </c>
    </row>
    <row r="3" ht="12.75">
      <c r="A3" s="77" t="s">
        <v>23</v>
      </c>
    </row>
    <row r="4" spans="1:4" ht="12">
      <c r="A4" t="s">
        <v>24</v>
      </c>
      <c r="B4" s="85">
        <v>0.7</v>
      </c>
      <c r="C4" s="10"/>
      <c r="D4" s="9"/>
    </row>
    <row r="5" spans="1:3" ht="12">
      <c r="A5" t="s">
        <v>82</v>
      </c>
      <c r="B5" s="27">
        <v>4</v>
      </c>
      <c r="C5" t="s">
        <v>25</v>
      </c>
    </row>
    <row r="6" spans="1:3" ht="12">
      <c r="A6" t="s">
        <v>79</v>
      </c>
      <c r="B6" s="27">
        <v>260</v>
      </c>
      <c r="C6" s="7" t="s">
        <v>80</v>
      </c>
    </row>
    <row r="7" spans="1:3" ht="12">
      <c r="A7" t="s">
        <v>36</v>
      </c>
      <c r="B7" s="1">
        <v>0.01</v>
      </c>
      <c r="C7" s="7"/>
    </row>
    <row r="9" ht="12.75">
      <c r="A9" s="77" t="s">
        <v>101</v>
      </c>
    </row>
    <row r="10" spans="1:3" ht="12">
      <c r="A10" t="s">
        <v>75</v>
      </c>
      <c r="B10" s="49">
        <f>'Standard Assumptions'!B6</f>
        <v>368</v>
      </c>
      <c r="C10" t="s">
        <v>12</v>
      </c>
    </row>
    <row r="11" spans="1:2" ht="12">
      <c r="A11" t="s">
        <v>76</v>
      </c>
      <c r="B11" s="49">
        <f>'Standard Assumptions'!B7</f>
        <v>567</v>
      </c>
    </row>
    <row r="12" spans="1:2" ht="12">
      <c r="A12" t="s">
        <v>103</v>
      </c>
      <c r="B12" s="50">
        <f>'Standard Assumptions'!B9</f>
        <v>0.078</v>
      </c>
    </row>
    <row r="15" spans="1:11" ht="37.5" customHeight="1">
      <c r="A15" s="2" t="s">
        <v>8</v>
      </c>
      <c r="B15" s="4" t="s">
        <v>3</v>
      </c>
      <c r="C15" s="4" t="s">
        <v>81</v>
      </c>
      <c r="D15" s="6" t="s">
        <v>83</v>
      </c>
      <c r="E15" s="6" t="s">
        <v>84</v>
      </c>
      <c r="F15" s="87" t="s">
        <v>89</v>
      </c>
      <c r="G15" s="4" t="s">
        <v>85</v>
      </c>
      <c r="H15" s="6" t="s">
        <v>86</v>
      </c>
      <c r="I15" s="6" t="s">
        <v>87</v>
      </c>
      <c r="J15" s="12" t="s">
        <v>88</v>
      </c>
      <c r="K15" s="21" t="s">
        <v>22</v>
      </c>
    </row>
    <row r="16" spans="1:11" ht="12.75">
      <c r="A16" s="3" t="s">
        <v>32</v>
      </c>
      <c r="B16" s="4" t="s">
        <v>4</v>
      </c>
      <c r="C16" s="4" t="s">
        <v>1</v>
      </c>
      <c r="D16" s="4" t="s">
        <v>1</v>
      </c>
      <c r="E16" s="4" t="s">
        <v>1</v>
      </c>
      <c r="F16" s="88" t="s">
        <v>13</v>
      </c>
      <c r="G16" s="4" t="s">
        <v>1</v>
      </c>
      <c r="H16" s="4" t="s">
        <v>1</v>
      </c>
      <c r="I16" s="4" t="s">
        <v>1</v>
      </c>
      <c r="J16" s="13" t="s">
        <v>13</v>
      </c>
      <c r="K16" s="20" t="s">
        <v>13</v>
      </c>
    </row>
    <row r="17" spans="1:11" ht="12.75">
      <c r="A17" s="102" t="s">
        <v>91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s="9" customFormat="1" ht="12">
      <c r="A18">
        <v>1</v>
      </c>
      <c r="B18" s="9">
        <v>1</v>
      </c>
      <c r="C18" s="61">
        <f>G18/$B$4</f>
        <v>1485.7142857142858</v>
      </c>
      <c r="D18" s="32">
        <f>C18/(1-$B$12)-C18</f>
        <v>125.68949488689168</v>
      </c>
      <c r="E18" s="14">
        <f>SUM(C18:D18)</f>
        <v>1611.4037806011775</v>
      </c>
      <c r="F18" s="19">
        <f>E18*$B$10/1000</f>
        <v>592.9965912612333</v>
      </c>
      <c r="G18" s="14">
        <f>B18*$B$6*$B$5</f>
        <v>1040</v>
      </c>
      <c r="H18" s="32">
        <f>G18/(1-$B$12)-G18</f>
        <v>87.98264642082427</v>
      </c>
      <c r="I18" s="14">
        <f>SUM(G18:H18)</f>
        <v>1127.9826464208243</v>
      </c>
      <c r="J18" s="18">
        <f>I18*$B$11/1000</f>
        <v>639.5661605206074</v>
      </c>
      <c r="K18" s="82">
        <f>J18-F18</f>
        <v>46.56956925937402</v>
      </c>
    </row>
    <row r="19" spans="1:11" ht="12">
      <c r="A19">
        <v>2</v>
      </c>
      <c r="B19" s="9">
        <v>1</v>
      </c>
      <c r="C19" s="61">
        <f>C18</f>
        <v>1485.7142857142858</v>
      </c>
      <c r="D19" s="32">
        <f aca="true" t="shared" si="0" ref="D19:D27">C19/(1-$B$12)-C19</f>
        <v>125.68949488689168</v>
      </c>
      <c r="E19" s="14">
        <f aca="true" t="shared" si="1" ref="E19:E27">SUM(C19:D19)</f>
        <v>1611.4037806011775</v>
      </c>
      <c r="F19" s="19">
        <f aca="true" t="shared" si="2" ref="F19:F27">E19*$B$10/1000</f>
        <v>592.9965912612333</v>
      </c>
      <c r="G19" s="14">
        <f>G18*(1-$B$7)</f>
        <v>1029.6</v>
      </c>
      <c r="H19" s="32">
        <f aca="true" t="shared" si="3" ref="H19:H27">G19/(1-$B$12)-G19</f>
        <v>87.10281995661603</v>
      </c>
      <c r="I19" s="14">
        <f aca="true" t="shared" si="4" ref="I19:I27">SUM(G19:H19)</f>
        <v>1116.702819956616</v>
      </c>
      <c r="J19" s="18">
        <f aca="true" t="shared" si="5" ref="J19:J27">I19*$B$11/1000</f>
        <v>633.1704989154013</v>
      </c>
      <c r="K19" s="82">
        <f aca="true" t="shared" si="6" ref="K19:K27">J19-F19</f>
        <v>40.17390765416792</v>
      </c>
    </row>
    <row r="20" spans="1:11" ht="12">
      <c r="A20">
        <v>3</v>
      </c>
      <c r="B20" s="9">
        <v>1</v>
      </c>
      <c r="C20" s="61">
        <f aca="true" t="shared" si="7" ref="C20:C27">C19</f>
        <v>1485.7142857142858</v>
      </c>
      <c r="D20" s="32">
        <f t="shared" si="0"/>
        <v>125.68949488689168</v>
      </c>
      <c r="E20" s="14">
        <f t="shared" si="1"/>
        <v>1611.4037806011775</v>
      </c>
      <c r="F20" s="19">
        <f t="shared" si="2"/>
        <v>592.9965912612333</v>
      </c>
      <c r="G20" s="14">
        <f aca="true" t="shared" si="8" ref="G20:G27">G19*(1-$B$7)</f>
        <v>1019.3039999999999</v>
      </c>
      <c r="H20" s="32">
        <f t="shared" si="3"/>
        <v>86.2317917570499</v>
      </c>
      <c r="I20" s="14">
        <f t="shared" si="4"/>
        <v>1105.5357917570498</v>
      </c>
      <c r="J20" s="18">
        <f t="shared" si="5"/>
        <v>626.8387939262471</v>
      </c>
      <c r="K20" s="82">
        <f t="shared" si="6"/>
        <v>33.842202665013815</v>
      </c>
    </row>
    <row r="21" spans="1:11" ht="12">
      <c r="A21">
        <v>4</v>
      </c>
      <c r="B21" s="9">
        <v>1</v>
      </c>
      <c r="C21" s="61">
        <f t="shared" si="7"/>
        <v>1485.7142857142858</v>
      </c>
      <c r="D21" s="32">
        <f t="shared" si="0"/>
        <v>125.68949488689168</v>
      </c>
      <c r="E21" s="14">
        <f t="shared" si="1"/>
        <v>1611.4037806011775</v>
      </c>
      <c r="F21" s="19">
        <f t="shared" si="2"/>
        <v>592.9965912612333</v>
      </c>
      <c r="G21" s="14">
        <f t="shared" si="8"/>
        <v>1009.1109599999999</v>
      </c>
      <c r="H21" s="32">
        <f t="shared" si="3"/>
        <v>85.36947383947938</v>
      </c>
      <c r="I21" s="14">
        <f t="shared" si="4"/>
        <v>1094.4804338394792</v>
      </c>
      <c r="J21" s="18">
        <f t="shared" si="5"/>
        <v>620.5704059869847</v>
      </c>
      <c r="K21" s="82">
        <f t="shared" si="6"/>
        <v>27.57381472575139</v>
      </c>
    </row>
    <row r="22" spans="1:11" ht="12">
      <c r="A22">
        <v>5</v>
      </c>
      <c r="B22" s="9">
        <v>1</v>
      </c>
      <c r="C22" s="61">
        <f t="shared" si="7"/>
        <v>1485.7142857142858</v>
      </c>
      <c r="D22" s="32">
        <f t="shared" si="0"/>
        <v>125.68949488689168</v>
      </c>
      <c r="E22" s="14">
        <f t="shared" si="1"/>
        <v>1611.4037806011775</v>
      </c>
      <c r="F22" s="19">
        <f t="shared" si="2"/>
        <v>592.9965912612333</v>
      </c>
      <c r="G22" s="14">
        <f t="shared" si="8"/>
        <v>999.0198503999999</v>
      </c>
      <c r="H22" s="32">
        <f t="shared" si="3"/>
        <v>84.5157791010846</v>
      </c>
      <c r="I22" s="14">
        <f t="shared" si="4"/>
        <v>1083.5356295010845</v>
      </c>
      <c r="J22" s="18">
        <f t="shared" si="5"/>
        <v>614.3647019271149</v>
      </c>
      <c r="K22" s="82">
        <f t="shared" si="6"/>
        <v>21.368110665881545</v>
      </c>
    </row>
    <row r="23" spans="1:11" ht="12">
      <c r="A23">
        <v>6</v>
      </c>
      <c r="B23" s="9">
        <v>1</v>
      </c>
      <c r="C23" s="61">
        <f t="shared" si="7"/>
        <v>1485.7142857142858</v>
      </c>
      <c r="D23" s="32">
        <f t="shared" si="0"/>
        <v>125.68949488689168</v>
      </c>
      <c r="E23" s="14">
        <f t="shared" si="1"/>
        <v>1611.4037806011775</v>
      </c>
      <c r="F23" s="19">
        <f t="shared" si="2"/>
        <v>592.9965912612333</v>
      </c>
      <c r="G23" s="14">
        <f t="shared" si="8"/>
        <v>989.0296518959999</v>
      </c>
      <c r="H23" s="32">
        <f t="shared" si="3"/>
        <v>83.67062131007378</v>
      </c>
      <c r="I23" s="14">
        <f t="shared" si="4"/>
        <v>1072.7002732060737</v>
      </c>
      <c r="J23" s="18">
        <f t="shared" si="5"/>
        <v>608.2210549078438</v>
      </c>
      <c r="K23" s="82">
        <f t="shared" si="6"/>
        <v>15.224463646610502</v>
      </c>
    </row>
    <row r="24" spans="1:11" ht="12">
      <c r="A24">
        <v>7</v>
      </c>
      <c r="B24" s="9">
        <v>1</v>
      </c>
      <c r="C24" s="61">
        <f t="shared" si="7"/>
        <v>1485.7142857142858</v>
      </c>
      <c r="D24" s="32">
        <f t="shared" si="0"/>
        <v>125.68949488689168</v>
      </c>
      <c r="E24" s="14">
        <f t="shared" si="1"/>
        <v>1611.4037806011775</v>
      </c>
      <c r="F24" s="19">
        <f t="shared" si="2"/>
        <v>592.9965912612333</v>
      </c>
      <c r="G24" s="14">
        <f t="shared" si="8"/>
        <v>979.1393553770399</v>
      </c>
      <c r="H24" s="32">
        <f t="shared" si="3"/>
        <v>82.83391509697299</v>
      </c>
      <c r="I24" s="14">
        <f t="shared" si="4"/>
        <v>1061.973270474013</v>
      </c>
      <c r="J24" s="18">
        <f t="shared" si="5"/>
        <v>602.1388443587653</v>
      </c>
      <c r="K24" s="82">
        <f t="shared" si="6"/>
        <v>9.14225309753192</v>
      </c>
    </row>
    <row r="25" spans="1:11" ht="12">
      <c r="A25">
        <v>8</v>
      </c>
      <c r="B25" s="9">
        <v>1</v>
      </c>
      <c r="C25" s="61">
        <f t="shared" si="7"/>
        <v>1485.7142857142858</v>
      </c>
      <c r="D25" s="32">
        <f t="shared" si="0"/>
        <v>125.68949488689168</v>
      </c>
      <c r="E25" s="14">
        <f t="shared" si="1"/>
        <v>1611.4037806011775</v>
      </c>
      <c r="F25" s="19">
        <f t="shared" si="2"/>
        <v>592.9965912612333</v>
      </c>
      <c r="G25" s="14">
        <f t="shared" si="8"/>
        <v>969.3479618232695</v>
      </c>
      <c r="H25" s="32">
        <f t="shared" si="3"/>
        <v>82.00557594600332</v>
      </c>
      <c r="I25" s="14">
        <f t="shared" si="4"/>
        <v>1051.3535377692729</v>
      </c>
      <c r="J25" s="18">
        <f t="shared" si="5"/>
        <v>596.1174559151777</v>
      </c>
      <c r="K25" s="82">
        <f t="shared" si="6"/>
        <v>3.120864653944409</v>
      </c>
    </row>
    <row r="26" spans="1:11" ht="12">
      <c r="A26">
        <v>9</v>
      </c>
      <c r="B26" s="9">
        <v>1</v>
      </c>
      <c r="C26" s="61">
        <f t="shared" si="7"/>
        <v>1485.7142857142858</v>
      </c>
      <c r="D26" s="32">
        <f t="shared" si="0"/>
        <v>125.68949488689168</v>
      </c>
      <c r="E26" s="14">
        <f t="shared" si="1"/>
        <v>1611.4037806011775</v>
      </c>
      <c r="F26" s="19">
        <f t="shared" si="2"/>
        <v>592.9965912612333</v>
      </c>
      <c r="G26" s="14">
        <f t="shared" si="8"/>
        <v>959.6544822050369</v>
      </c>
      <c r="H26" s="32">
        <f t="shared" si="3"/>
        <v>81.18552018654327</v>
      </c>
      <c r="I26" s="14">
        <f t="shared" si="4"/>
        <v>1040.8400023915801</v>
      </c>
      <c r="J26" s="18">
        <f t="shared" si="5"/>
        <v>590.1562813560259</v>
      </c>
      <c r="K26" s="82">
        <f t="shared" si="6"/>
        <v>-2.8403099052073912</v>
      </c>
    </row>
    <row r="27" spans="1:11" ht="12">
      <c r="A27">
        <v>10</v>
      </c>
      <c r="B27" s="9">
        <v>1</v>
      </c>
      <c r="C27" s="61">
        <f t="shared" si="7"/>
        <v>1485.7142857142858</v>
      </c>
      <c r="D27" s="32">
        <f t="shared" si="0"/>
        <v>125.68949488689168</v>
      </c>
      <c r="E27" s="14">
        <f t="shared" si="1"/>
        <v>1611.4037806011775</v>
      </c>
      <c r="F27" s="19">
        <f t="shared" si="2"/>
        <v>592.9965912612333</v>
      </c>
      <c r="G27" s="14">
        <f t="shared" si="8"/>
        <v>950.0579373829864</v>
      </c>
      <c r="H27" s="32">
        <f t="shared" si="3"/>
        <v>80.37366498467782</v>
      </c>
      <c r="I27" s="14">
        <f t="shared" si="4"/>
        <v>1030.4316023676643</v>
      </c>
      <c r="J27" s="18">
        <f t="shared" si="5"/>
        <v>584.2547185424656</v>
      </c>
      <c r="K27" s="82">
        <f t="shared" si="6"/>
        <v>-8.741872718767695</v>
      </c>
    </row>
    <row r="28" spans="1:11" ht="12">
      <c r="A28" s="9"/>
      <c r="B28" s="9"/>
      <c r="C28" s="60"/>
      <c r="D28" s="32"/>
      <c r="E28" s="14"/>
      <c r="F28" s="14"/>
      <c r="G28" s="14"/>
      <c r="H28" s="32"/>
      <c r="I28" s="14"/>
      <c r="J28" s="14"/>
      <c r="K28" s="83"/>
    </row>
    <row r="29" spans="1:11" ht="12.75">
      <c r="A29" s="29" t="s">
        <v>38</v>
      </c>
      <c r="B29" s="29">
        <f>B18</f>
        <v>1</v>
      </c>
      <c r="C29" s="58">
        <f aca="true" t="shared" si="9" ref="C29:K29">SUM(C18:C27)</f>
        <v>14857.14285714286</v>
      </c>
      <c r="D29" s="58">
        <f t="shared" si="9"/>
        <v>1256.8949488689168</v>
      </c>
      <c r="E29" s="58">
        <f t="shared" si="9"/>
        <v>16114.037806011773</v>
      </c>
      <c r="F29" s="58">
        <f t="shared" si="9"/>
        <v>5929.965912612333</v>
      </c>
      <c r="G29" s="58">
        <f t="shared" si="9"/>
        <v>9944.264199084331</v>
      </c>
      <c r="H29" s="58">
        <f t="shared" si="9"/>
        <v>841.2718085993254</v>
      </c>
      <c r="I29" s="58">
        <f t="shared" si="9"/>
        <v>10785.536007683657</v>
      </c>
      <c r="J29" s="58">
        <f t="shared" si="9"/>
        <v>6115.398916356634</v>
      </c>
      <c r="K29" s="84">
        <f t="shared" si="9"/>
        <v>185.43300374430044</v>
      </c>
    </row>
    <row r="30" ht="12.75">
      <c r="A30" s="100" t="s">
        <v>115</v>
      </c>
    </row>
    <row r="32" spans="1:3" ht="12" hidden="1">
      <c r="A32" t="s">
        <v>43</v>
      </c>
      <c r="B32" t="s">
        <v>40</v>
      </c>
      <c r="C32" t="e">
        <f>IF(B26&gt;1,C33,B26*#REF!*10^6)</f>
        <v>#REF!</v>
      </c>
    </row>
    <row r="33" spans="2:3" ht="12" hidden="1">
      <c r="B33" t="s">
        <v>41</v>
      </c>
      <c r="C33" t="e">
        <f>IF(B26&lt;2,1*#REF!*10^6+(B26-1)*(#REF!/2*10^6),C34)</f>
        <v>#REF!</v>
      </c>
    </row>
    <row r="34" spans="2:3" ht="12" hidden="1">
      <c r="B34" t="s">
        <v>42</v>
      </c>
      <c r="C34" t="e">
        <f>IF(B26&lt;3,(#REF!*10^6+(#REF!/2)*10^6+(B26-2)*(#REF!/4)*10^6),(#REF!*10^6+(#REF!/2)*10^6+(#REF!/4)*10^6))</f>
        <v>#REF!</v>
      </c>
    </row>
    <row r="35" ht="12" hidden="1">
      <c r="C35" t="e">
        <f>IF(B26&lt;1,C32,(IF(B26&lt;2,C33,C34)))</f>
        <v>#REF!</v>
      </c>
    </row>
  </sheetData>
  <sheetProtection/>
  <mergeCells count="1">
    <mergeCell ref="A17:K17"/>
  </mergeCells>
  <printOptions/>
  <pageMargins left="0.75" right="0.75" top="1" bottom="1" header="0.5" footer="0.5"/>
  <pageSetup horizontalDpi="600" verticalDpi="600" orientation="landscape" scale="58" r:id="rId1"/>
  <headerFooter alignWithMargins="0">
    <oddHeader xml:space="preserve">&amp;CAppendix A: SGIP Staff Proposal GHG Analysis Workbook, 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Rosie Magana</cp:lastModifiedBy>
  <cp:lastPrinted>2010-09-29T18:41:22Z</cp:lastPrinted>
  <dcterms:created xsi:type="dcterms:W3CDTF">2010-02-09T00:58:30Z</dcterms:created>
  <dcterms:modified xsi:type="dcterms:W3CDTF">2013-04-16T15:15:45Z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